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Project - IES\Business Case\0060b 2023\2. FBC\"/>
    </mc:Choice>
  </mc:AlternateContent>
  <bookViews>
    <workbookView xWindow="0" yWindow="0" windowWidth="28800" windowHeight="12330"/>
  </bookViews>
  <sheets>
    <sheet name="2023 Estimate Overall Capital" sheetId="67" r:id="rId1"/>
    <sheet name="Centrica CSA" sheetId="69" r:id="rId2"/>
    <sheet name="PFI CN's" sheetId="71" r:id="rId3"/>
    <sheet name="Future works" sheetId="72" r:id="rId4"/>
    <sheet name="Boiler LCC " sheetId="73" r:id="rId5"/>
    <sheet name="Sheet1" sheetId="74" r:id="rId6"/>
    <sheet name="Reslience Options costs" sheetId="75" r:id="rId7"/>
  </sheets>
  <externalReferences>
    <externalReference r:id="rId8"/>
  </externalReferences>
  <calcPr calcId="162913"/>
</workbook>
</file>

<file path=xl/calcChain.xml><?xml version="1.0" encoding="utf-8"?>
<calcChain xmlns="http://schemas.openxmlformats.org/spreadsheetml/2006/main">
  <c r="C49" i="67" l="1"/>
  <c r="C58" i="67" l="1"/>
  <c r="C41" i="67" l="1"/>
  <c r="C40" i="67"/>
  <c r="O51" i="75"/>
  <c r="O55" i="75" s="1"/>
  <c r="O31" i="75"/>
  <c r="G31" i="75"/>
  <c r="G37" i="75" s="1"/>
  <c r="G27" i="75"/>
  <c r="D10" i="74"/>
  <c r="B10" i="74"/>
  <c r="E10" i="74" s="1"/>
  <c r="C9" i="74"/>
  <c r="D9" i="74" s="1"/>
  <c r="B9" i="74"/>
  <c r="C8" i="74"/>
  <c r="D8" i="74" s="1"/>
  <c r="E8" i="74" s="1"/>
  <c r="E7" i="74"/>
  <c r="E9" i="74" l="1"/>
  <c r="C42" i="67"/>
  <c r="O60" i="75"/>
  <c r="O62" i="75" s="1"/>
  <c r="O35" i="75"/>
  <c r="O36" i="75" s="1"/>
  <c r="O37" i="75" s="1"/>
  <c r="C50" i="67" l="1"/>
  <c r="I43" i="69" l="1"/>
  <c r="I45" i="69" s="1"/>
  <c r="B43" i="69" l="1"/>
  <c r="C7" i="67" s="1"/>
  <c r="B45" i="69" l="1"/>
  <c r="B47" i="69" s="1"/>
  <c r="C15" i="67"/>
  <c r="E17" i="71"/>
  <c r="C36" i="67" l="1"/>
  <c r="AK9" i="67" l="1"/>
  <c r="AL9" i="67"/>
  <c r="AL10" i="67"/>
  <c r="AL7" i="67"/>
  <c r="AI11" i="67"/>
  <c r="CH72" i="67" l="1"/>
  <c r="AM60" i="67"/>
  <c r="AG60" i="67"/>
  <c r="BI54" i="67"/>
  <c r="BF54" i="67"/>
  <c r="BE54" i="67"/>
  <c r="BD54" i="67"/>
  <c r="BC54" i="67"/>
  <c r="AZ54" i="67"/>
  <c r="AD54" i="67" s="1"/>
  <c r="Z54" i="67"/>
  <c r="X54" i="67" s="1"/>
  <c r="V54" i="67"/>
  <c r="T54" i="67" s="1"/>
  <c r="Q54" i="67"/>
  <c r="O54" i="67" s="1"/>
  <c r="J54" i="67"/>
  <c r="E54" i="67"/>
  <c r="D54" i="67"/>
  <c r="AM53" i="67"/>
  <c r="AG53" i="67"/>
  <c r="CF52" i="67"/>
  <c r="CE52" i="67"/>
  <c r="AF52" i="67"/>
  <c r="AK52" i="67"/>
  <c r="AJ52" i="67"/>
  <c r="AE52" i="67"/>
  <c r="AD52" i="67"/>
  <c r="X52" i="67"/>
  <c r="T52" i="67"/>
  <c r="O52" i="67"/>
  <c r="J52" i="67"/>
  <c r="E52" i="67"/>
  <c r="D52" i="67"/>
  <c r="AM51" i="67"/>
  <c r="AG51" i="67"/>
  <c r="CN50" i="67"/>
  <c r="CC50" i="67"/>
  <c r="CB50" i="67"/>
  <c r="CA50" i="67"/>
  <c r="BZ50" i="67"/>
  <c r="BS50" i="67"/>
  <c r="BR50" i="67"/>
  <c r="BQ50" i="67"/>
  <c r="BP50" i="67"/>
  <c r="BO50" i="67"/>
  <c r="BN50" i="67"/>
  <c r="BL50" i="67"/>
  <c r="BK50" i="67"/>
  <c r="BJ50" i="67"/>
  <c r="BI50" i="67"/>
  <c r="BH50" i="67"/>
  <c r="BG50" i="67"/>
  <c r="BF50" i="67"/>
  <c r="BE50" i="67"/>
  <c r="BD50" i="67"/>
  <c r="BC50" i="67"/>
  <c r="BB50" i="67"/>
  <c r="BA50" i="67"/>
  <c r="AZ50" i="67"/>
  <c r="AY50" i="67"/>
  <c r="AX50" i="67"/>
  <c r="AW50" i="67"/>
  <c r="AV50" i="67"/>
  <c r="AU50" i="67"/>
  <c r="AT50" i="67"/>
  <c r="AS50" i="67"/>
  <c r="AR50" i="67"/>
  <c r="AQ50" i="67"/>
  <c r="AP50" i="67"/>
  <c r="AO50" i="67"/>
  <c r="AI50" i="67"/>
  <c r="AA50" i="67"/>
  <c r="Y50" i="67"/>
  <c r="W50" i="67"/>
  <c r="U50" i="67"/>
  <c r="R50" i="67"/>
  <c r="P50" i="67"/>
  <c r="M50" i="67"/>
  <c r="L50" i="67"/>
  <c r="K50" i="67"/>
  <c r="J50" i="67"/>
  <c r="H50" i="67"/>
  <c r="F50" i="67"/>
  <c r="CG49" i="67"/>
  <c r="CF49" i="67"/>
  <c r="CE49" i="67"/>
  <c r="BM50" i="67"/>
  <c r="AL49" i="67"/>
  <c r="AK49" i="67"/>
  <c r="AJ49" i="67"/>
  <c r="AE49" i="67"/>
  <c r="AD49" i="67"/>
  <c r="AC49" i="67"/>
  <c r="Z49" i="67"/>
  <c r="X49" i="67" s="1"/>
  <c r="V49" i="67"/>
  <c r="Q49" i="67"/>
  <c r="G49" i="67"/>
  <c r="E49" i="67" s="1"/>
  <c r="D49" i="67"/>
  <c r="AG48" i="67"/>
  <c r="AG47" i="67"/>
  <c r="CN46" i="67"/>
  <c r="CC46" i="67"/>
  <c r="CB46" i="67"/>
  <c r="CA46" i="67"/>
  <c r="BZ46" i="67"/>
  <c r="BY46" i="67"/>
  <c r="BS46" i="67"/>
  <c r="BR46" i="67"/>
  <c r="BQ46" i="67"/>
  <c r="BP46" i="67"/>
  <c r="BO46" i="67"/>
  <c r="BN46" i="67"/>
  <c r="BM46" i="67"/>
  <c r="BL46" i="67"/>
  <c r="BH46" i="67"/>
  <c r="BG46" i="67"/>
  <c r="BF46" i="67"/>
  <c r="BE46" i="67"/>
  <c r="BD46" i="67"/>
  <c r="BC46" i="67"/>
  <c r="BB46" i="67"/>
  <c r="BA46" i="67"/>
  <c r="AZ46" i="67"/>
  <c r="AY46" i="67"/>
  <c r="AX46" i="67"/>
  <c r="AW46" i="67"/>
  <c r="AV46" i="67"/>
  <c r="AU46" i="67"/>
  <c r="AT46" i="67"/>
  <c r="AS46" i="67"/>
  <c r="AR46" i="67"/>
  <c r="AQ46" i="67"/>
  <c r="AP46" i="67"/>
  <c r="AO46" i="67"/>
  <c r="AI46" i="67"/>
  <c r="AC46" i="67"/>
  <c r="AA46" i="67"/>
  <c r="Z46" i="67"/>
  <c r="Y46" i="67"/>
  <c r="W46" i="67"/>
  <c r="V46" i="67"/>
  <c r="U46" i="67"/>
  <c r="R46" i="67"/>
  <c r="Q46" i="67"/>
  <c r="P46" i="67"/>
  <c r="M46" i="67"/>
  <c r="L46" i="67"/>
  <c r="K46" i="67"/>
  <c r="J46" i="67"/>
  <c r="H46" i="67"/>
  <c r="G46" i="67"/>
  <c r="F46" i="67"/>
  <c r="CG45" i="67"/>
  <c r="CG46" i="67" s="1"/>
  <c r="CE45" i="67"/>
  <c r="BK45" i="67"/>
  <c r="BK46" i="67" s="1"/>
  <c r="BJ45" i="67"/>
  <c r="BJ46" i="67" s="1"/>
  <c r="BI45" i="67"/>
  <c r="AK46" i="67" s="1"/>
  <c r="AL46" i="67"/>
  <c r="AJ45" i="67"/>
  <c r="AM45" i="67" s="1"/>
  <c r="AF45" i="67"/>
  <c r="AF46" i="67" s="1"/>
  <c r="AD45" i="67"/>
  <c r="AD46" i="67" s="1"/>
  <c r="X45" i="67"/>
  <c r="X46" i="67" s="1"/>
  <c r="T45" i="67"/>
  <c r="T46" i="67" s="1"/>
  <c r="O45" i="67"/>
  <c r="O46" i="67" s="1"/>
  <c r="E45" i="67"/>
  <c r="E46" i="67" s="1"/>
  <c r="D45" i="67"/>
  <c r="C46" i="67"/>
  <c r="AG44" i="67"/>
  <c r="CC37" i="67"/>
  <c r="CB37" i="67"/>
  <c r="BJ37" i="67"/>
  <c r="BI37" i="67"/>
  <c r="BH37" i="67"/>
  <c r="BG37" i="67"/>
  <c r="BF37" i="67"/>
  <c r="AY37" i="67"/>
  <c r="AX37" i="67"/>
  <c r="AW37" i="67"/>
  <c r="AV37" i="67"/>
  <c r="AU37" i="67"/>
  <c r="AT37" i="67"/>
  <c r="AS37" i="67"/>
  <c r="AR37" i="67"/>
  <c r="AQ37" i="67"/>
  <c r="AP37" i="67"/>
  <c r="AO37" i="67"/>
  <c r="AI37" i="67"/>
  <c r="AC37" i="67"/>
  <c r="Y37" i="67"/>
  <c r="U37" i="67"/>
  <c r="P37" i="67"/>
  <c r="M37" i="67"/>
  <c r="L37" i="67"/>
  <c r="K37" i="67"/>
  <c r="J37" i="67"/>
  <c r="G37" i="67"/>
  <c r="F37" i="67"/>
  <c r="AA37" i="67"/>
  <c r="W37" i="67"/>
  <c r="R37" i="67"/>
  <c r="CG36" i="67"/>
  <c r="CE36" i="67"/>
  <c r="BC36" i="67"/>
  <c r="CF36" i="67" s="1"/>
  <c r="AL36" i="67"/>
  <c r="AJ36" i="67"/>
  <c r="AF36" i="67"/>
  <c r="AD36" i="67"/>
  <c r="Z36" i="67"/>
  <c r="X36" i="67" s="1"/>
  <c r="V36" i="67"/>
  <c r="T36" i="67" s="1"/>
  <c r="Q36" i="67"/>
  <c r="CG35" i="67"/>
  <c r="CF35" i="67"/>
  <c r="CE35" i="67"/>
  <c r="AJ35" i="67"/>
  <c r="AM35" i="67" s="1"/>
  <c r="AF35" i="67"/>
  <c r="AE35" i="67"/>
  <c r="AD35" i="67"/>
  <c r="X35" i="67"/>
  <c r="T35" i="67"/>
  <c r="O35" i="67"/>
  <c r="CG34" i="67"/>
  <c r="CF34" i="67"/>
  <c r="CE34" i="67"/>
  <c r="AK34" i="67"/>
  <c r="AJ34" i="67"/>
  <c r="AF34" i="67"/>
  <c r="AE34" i="67"/>
  <c r="AD34" i="67"/>
  <c r="X34" i="67"/>
  <c r="T34" i="67"/>
  <c r="O34" i="67"/>
  <c r="E34" i="67"/>
  <c r="CF33" i="67"/>
  <c r="CE33" i="67"/>
  <c r="BP33" i="67"/>
  <c r="BO33" i="67"/>
  <c r="BN33" i="67"/>
  <c r="BN37" i="67" s="1"/>
  <c r="AJ33" i="67"/>
  <c r="AE33" i="67"/>
  <c r="AD33" i="67"/>
  <c r="X33" i="67"/>
  <c r="T33" i="67"/>
  <c r="O33" i="67"/>
  <c r="E33" i="67"/>
  <c r="CG32" i="67"/>
  <c r="CF32" i="67"/>
  <c r="CE32" i="67"/>
  <c r="AL32" i="67"/>
  <c r="AK32" i="67"/>
  <c r="AJ32" i="67"/>
  <c r="AF32" i="67"/>
  <c r="AE32" i="67"/>
  <c r="AD32" i="67"/>
  <c r="X32" i="67"/>
  <c r="T32" i="67"/>
  <c r="CG31" i="67"/>
  <c r="CF31" i="67"/>
  <c r="CE31" i="67"/>
  <c r="AL31" i="67"/>
  <c r="AM31" i="67" s="1"/>
  <c r="AF31" i="67"/>
  <c r="AE31" i="67"/>
  <c r="AD31" i="67"/>
  <c r="X31" i="67"/>
  <c r="T31" i="67"/>
  <c r="O31" i="67"/>
  <c r="E31" i="67"/>
  <c r="CG30" i="67"/>
  <c r="CF30" i="67"/>
  <c r="CE30" i="67"/>
  <c r="AL30" i="67"/>
  <c r="AK30" i="67"/>
  <c r="AJ30" i="67"/>
  <c r="AF30" i="67"/>
  <c r="AE30" i="67"/>
  <c r="AD30" i="67"/>
  <c r="X30" i="67"/>
  <c r="T30" i="67"/>
  <c r="O30" i="67"/>
  <c r="E30" i="67"/>
  <c r="CG29" i="67"/>
  <c r="CE29" i="67"/>
  <c r="BE29" i="67"/>
  <c r="AE29" i="67" s="1"/>
  <c r="AL29" i="67"/>
  <c r="AF29" i="67"/>
  <c r="AD29" i="67"/>
  <c r="X29" i="67"/>
  <c r="T29" i="67"/>
  <c r="O29" i="67"/>
  <c r="E29" i="67"/>
  <c r="CG28" i="67"/>
  <c r="CF28" i="67"/>
  <c r="CE28" i="67"/>
  <c r="AL28" i="67"/>
  <c r="AJ28" i="67"/>
  <c r="AF28" i="67"/>
  <c r="AE28" i="67"/>
  <c r="AD28" i="67"/>
  <c r="X28" i="67"/>
  <c r="T28" i="67"/>
  <c r="O28" i="67"/>
  <c r="E28" i="67"/>
  <c r="CE27" i="67"/>
  <c r="AF27" i="67"/>
  <c r="BL37" i="67"/>
  <c r="BK27" i="67"/>
  <c r="BK37" i="67" s="1"/>
  <c r="BE27" i="67"/>
  <c r="BD27" i="67"/>
  <c r="BD37" i="67" s="1"/>
  <c r="BC27" i="67"/>
  <c r="BB27" i="67"/>
  <c r="BA27" i="67"/>
  <c r="BA37" i="67" s="1"/>
  <c r="AD27" i="67"/>
  <c r="X27" i="67"/>
  <c r="T27" i="67"/>
  <c r="O27" i="67"/>
  <c r="E27" i="67"/>
  <c r="CF26" i="67"/>
  <c r="CE26" i="67"/>
  <c r="AE26" i="67"/>
  <c r="AD26" i="67"/>
  <c r="X26" i="67"/>
  <c r="T26" i="67"/>
  <c r="O26" i="67"/>
  <c r="E26" i="67"/>
  <c r="CG25" i="67"/>
  <c r="CF25" i="67"/>
  <c r="CE25" i="67"/>
  <c r="AL25" i="67"/>
  <c r="AK25" i="67"/>
  <c r="AJ25" i="67"/>
  <c r="AF25" i="67"/>
  <c r="AE25" i="67"/>
  <c r="AD25" i="67"/>
  <c r="X25" i="67"/>
  <c r="T25" i="67"/>
  <c r="O25" i="67"/>
  <c r="E25" i="67"/>
  <c r="CG17" i="67"/>
  <c r="CF17" i="67"/>
  <c r="AZ17" i="67"/>
  <c r="AZ37" i="67" s="1"/>
  <c r="AL17" i="67"/>
  <c r="AK17" i="67"/>
  <c r="AF17" i="67"/>
  <c r="AE17" i="67"/>
  <c r="X17" i="67"/>
  <c r="T17" i="67"/>
  <c r="O17" i="67"/>
  <c r="E17" i="67"/>
  <c r="CG16" i="67"/>
  <c r="CF16" i="67"/>
  <c r="CE16" i="67"/>
  <c r="AL16" i="67"/>
  <c r="AM16" i="67" s="1"/>
  <c r="AF16" i="67"/>
  <c r="AE16" i="67"/>
  <c r="AD16" i="67"/>
  <c r="X16" i="67"/>
  <c r="T16" i="67"/>
  <c r="O16" i="67"/>
  <c r="E16" i="67"/>
  <c r="CG15" i="67"/>
  <c r="CF15" i="67"/>
  <c r="CE15" i="67"/>
  <c r="AL15" i="67"/>
  <c r="AM15" i="67" s="1"/>
  <c r="AF15" i="67"/>
  <c r="AE15" i="67"/>
  <c r="AD15" i="67"/>
  <c r="X15" i="67"/>
  <c r="T15" i="67"/>
  <c r="O15" i="67"/>
  <c r="E15" i="67"/>
  <c r="CN11" i="67"/>
  <c r="CC11" i="67"/>
  <c r="CB11" i="67"/>
  <c r="CA11" i="67"/>
  <c r="BZ11" i="67"/>
  <c r="BP11" i="67"/>
  <c r="BO11" i="67"/>
  <c r="BN11" i="67"/>
  <c r="BM11" i="67"/>
  <c r="BL11" i="67"/>
  <c r="BK11" i="67"/>
  <c r="BH11" i="67"/>
  <c r="BG11" i="67"/>
  <c r="BE11" i="67"/>
  <c r="BD11" i="67"/>
  <c r="AY11" i="67"/>
  <c r="AX11" i="67"/>
  <c r="AW11" i="67"/>
  <c r="AV11" i="67"/>
  <c r="AU11" i="67"/>
  <c r="AT11" i="67"/>
  <c r="AS11" i="67"/>
  <c r="AR11" i="67"/>
  <c r="AQ11" i="67"/>
  <c r="AP11" i="67"/>
  <c r="AO11" i="67"/>
  <c r="AG11" i="67"/>
  <c r="AA11" i="67"/>
  <c r="Y11" i="67"/>
  <c r="W11" i="67"/>
  <c r="U11" i="67"/>
  <c r="R11" i="67"/>
  <c r="P11" i="67"/>
  <c r="M11" i="67"/>
  <c r="L11" i="67"/>
  <c r="K11" i="67"/>
  <c r="J11" i="67"/>
  <c r="H11" i="67"/>
  <c r="F11" i="67"/>
  <c r="CF10" i="67"/>
  <c r="CE10" i="67"/>
  <c r="BY11" i="67"/>
  <c r="BS11" i="67"/>
  <c r="BR11" i="67"/>
  <c r="CG10" i="67"/>
  <c r="AK10" i="67"/>
  <c r="AK11" i="67" s="1"/>
  <c r="AJ10" i="67"/>
  <c r="CG9" i="67"/>
  <c r="CF9" i="67"/>
  <c r="CE9" i="67"/>
  <c r="AJ9" i="67"/>
  <c r="AM9" i="67" s="1"/>
  <c r="AF9" i="67"/>
  <c r="AE9" i="67"/>
  <c r="AD9" i="67"/>
  <c r="AC9" i="67"/>
  <c r="X9" i="67"/>
  <c r="T9" i="67"/>
  <c r="O9" i="67"/>
  <c r="E9" i="67"/>
  <c r="CG7" i="67"/>
  <c r="BJ11" i="67"/>
  <c r="BF11" i="67"/>
  <c r="BC11" i="67"/>
  <c r="BB11" i="67"/>
  <c r="BA11" i="67"/>
  <c r="AC7" i="67"/>
  <c r="Z7" i="67"/>
  <c r="Z11" i="67" s="1"/>
  <c r="V7" i="67"/>
  <c r="T7" i="67" s="1"/>
  <c r="Q7" i="67"/>
  <c r="Q11" i="67" s="1"/>
  <c r="G7" i="67"/>
  <c r="G11" i="67" s="1"/>
  <c r="BE37" i="67" l="1"/>
  <c r="V50" i="67"/>
  <c r="E50" i="67"/>
  <c r="AC11" i="67"/>
  <c r="BZ54" i="67"/>
  <c r="CH15" i="67"/>
  <c r="CL15" i="67" s="1"/>
  <c r="AM17" i="67"/>
  <c r="CH30" i="67"/>
  <c r="CJ30" i="67" s="1"/>
  <c r="CA54" i="67"/>
  <c r="O7" i="67"/>
  <c r="O11" i="67" s="1"/>
  <c r="Q37" i="67"/>
  <c r="BP54" i="67"/>
  <c r="AM30" i="67"/>
  <c r="CH35" i="67"/>
  <c r="CL35" i="67" s="1"/>
  <c r="X7" i="67"/>
  <c r="X11" i="67" s="1"/>
  <c r="CH16" i="67"/>
  <c r="CJ16" i="67" s="1"/>
  <c r="AE27" i="67"/>
  <c r="AD50" i="67"/>
  <c r="BN54" i="67"/>
  <c r="CH34" i="67"/>
  <c r="CL34" i="67" s="1"/>
  <c r="X37" i="67"/>
  <c r="CF50" i="67"/>
  <c r="AM25" i="67"/>
  <c r="CE50" i="67"/>
  <c r="CB54" i="67"/>
  <c r="AM32" i="67"/>
  <c r="CG33" i="67"/>
  <c r="CH33" i="67" s="1"/>
  <c r="CJ33" i="67" s="1"/>
  <c r="AM34" i="67"/>
  <c r="T37" i="67"/>
  <c r="AK50" i="67"/>
  <c r="E7" i="67"/>
  <c r="E11" i="67" s="1"/>
  <c r="T11" i="67"/>
  <c r="CC54" i="67"/>
  <c r="CF29" i="67"/>
  <c r="O36" i="67"/>
  <c r="CH28" i="67"/>
  <c r="CL28" i="67" s="1"/>
  <c r="CF27" i="67"/>
  <c r="BM37" i="67"/>
  <c r="Q50" i="67"/>
  <c r="CH49" i="67"/>
  <c r="CP49" i="67" s="1"/>
  <c r="CE54" i="67"/>
  <c r="V37" i="67"/>
  <c r="AJ37" i="67"/>
  <c r="CF45" i="67"/>
  <c r="CF46" i="67" s="1"/>
  <c r="G50" i="67"/>
  <c r="D11" i="67"/>
  <c r="V11" i="67"/>
  <c r="BO54" i="67"/>
  <c r="E37" i="67"/>
  <c r="CH25" i="67"/>
  <c r="CL25" i="67" s="1"/>
  <c r="BC37" i="67"/>
  <c r="CH32" i="67"/>
  <c r="CL32" i="67" s="1"/>
  <c r="AE50" i="67"/>
  <c r="D46" i="67"/>
  <c r="AM49" i="67"/>
  <c r="CG50" i="67"/>
  <c r="AG52" i="67"/>
  <c r="CH31" i="67"/>
  <c r="CL31" i="67" s="1"/>
  <c r="AM29" i="67"/>
  <c r="AM28" i="67"/>
  <c r="CG11" i="67"/>
  <c r="CH9" i="67"/>
  <c r="CP9" i="67" s="1"/>
  <c r="D37" i="67"/>
  <c r="CH10" i="67"/>
  <c r="AL11" i="67"/>
  <c r="C37" i="67"/>
  <c r="BR54" i="67"/>
  <c r="AM7" i="67"/>
  <c r="AJ11" i="67"/>
  <c r="BS54" i="67"/>
  <c r="D50" i="67"/>
  <c r="BB54" i="67"/>
  <c r="CH36" i="67"/>
  <c r="X50" i="67"/>
  <c r="AC50" i="67"/>
  <c r="AD7" i="67"/>
  <c r="AD11" i="67" s="1"/>
  <c r="AE7" i="67"/>
  <c r="AE11" i="67" s="1"/>
  <c r="Z37" i="67"/>
  <c r="CF7" i="67"/>
  <c r="CF11" i="67" s="1"/>
  <c r="BQ11" i="67"/>
  <c r="CG27" i="67"/>
  <c r="AF7" i="67"/>
  <c r="AF11" i="67" s="1"/>
  <c r="AD17" i="67"/>
  <c r="AD37" i="67" s="1"/>
  <c r="CE17" i="67"/>
  <c r="CH17" i="67" s="1"/>
  <c r="AM36" i="67"/>
  <c r="H37" i="67"/>
  <c r="BB37" i="67"/>
  <c r="AE45" i="67"/>
  <c r="AJ46" i="67"/>
  <c r="AM46" i="67" s="1"/>
  <c r="BI46" i="67"/>
  <c r="CE46" i="67"/>
  <c r="O49" i="67"/>
  <c r="O50" i="67" s="1"/>
  <c r="AL52" i="67"/>
  <c r="AM52" i="67" s="1"/>
  <c r="CE7" i="67"/>
  <c r="AZ11" i="67"/>
  <c r="BI11" i="67"/>
  <c r="BO26" i="67"/>
  <c r="AL27" i="67"/>
  <c r="AF33" i="67"/>
  <c r="AA48" i="67"/>
  <c r="AF49" i="67"/>
  <c r="Z50" i="67"/>
  <c r="AJ50" i="67"/>
  <c r="T49" i="67"/>
  <c r="T50" i="67" s="1"/>
  <c r="CG52" i="67"/>
  <c r="CH52" i="67" s="1"/>
  <c r="AM10" i="67"/>
  <c r="AM33" i="67"/>
  <c r="BY50" i="67"/>
  <c r="BY54" i="67" s="1"/>
  <c r="AE36" i="67"/>
  <c r="AK37" i="67"/>
  <c r="CJ15" i="67" l="1"/>
  <c r="CJ35" i="67"/>
  <c r="AE37" i="67"/>
  <c r="CJ31" i="67"/>
  <c r="CJ34" i="67"/>
  <c r="CL30" i="67"/>
  <c r="CF37" i="67"/>
  <c r="CL16" i="67"/>
  <c r="CH29" i="67"/>
  <c r="CJ29" i="67" s="1"/>
  <c r="CH50" i="67"/>
  <c r="CH71" i="67" s="1"/>
  <c r="CH73" i="67" s="1"/>
  <c r="CJ25" i="67"/>
  <c r="CH27" i="67"/>
  <c r="CL27" i="67" s="1"/>
  <c r="CP50" i="67"/>
  <c r="O37" i="67"/>
  <c r="CJ49" i="67"/>
  <c r="CJ32" i="67"/>
  <c r="CJ9" i="67"/>
  <c r="CL9" i="67"/>
  <c r="AF50" i="67"/>
  <c r="AG50" i="67" s="1"/>
  <c r="CL33" i="67"/>
  <c r="T69" i="67"/>
  <c r="CE37" i="67"/>
  <c r="CJ28" i="67"/>
  <c r="CH45" i="67"/>
  <c r="BO37" i="67"/>
  <c r="BP26" i="67"/>
  <c r="CL17" i="67"/>
  <c r="CJ17" i="67"/>
  <c r="CF54" i="67"/>
  <c r="CP10" i="67"/>
  <c r="CL10" i="67"/>
  <c r="CP52" i="67"/>
  <c r="CJ52" i="67"/>
  <c r="AL50" i="67"/>
  <c r="AM50" i="67" s="1"/>
  <c r="CH7" i="67"/>
  <c r="CE11" i="67"/>
  <c r="AE46" i="67"/>
  <c r="AG46" i="67" s="1"/>
  <c r="AG45" i="67"/>
  <c r="BQ54" i="67"/>
  <c r="AM27" i="67"/>
  <c r="AG49" i="67"/>
  <c r="AM11" i="67"/>
  <c r="CL36" i="67"/>
  <c r="CJ36" i="67"/>
  <c r="CJ50" i="67" l="1"/>
  <c r="O69" i="67"/>
  <c r="CL29" i="67"/>
  <c r="X69" i="67"/>
  <c r="CJ27" i="67"/>
  <c r="CH46" i="67"/>
  <c r="CL45" i="67"/>
  <c r="CL46" i="67" s="1"/>
  <c r="CJ45" i="67"/>
  <c r="CJ46" i="67" s="1"/>
  <c r="CP45" i="67"/>
  <c r="CP46" i="67" s="1"/>
  <c r="BP37" i="67"/>
  <c r="BQ26" i="67"/>
  <c r="CG54" i="67"/>
  <c r="CH54" i="67" s="1"/>
  <c r="AF54" i="67"/>
  <c r="AE54" i="67" s="1"/>
  <c r="AG54" i="67" s="1"/>
  <c r="AM54" i="67"/>
  <c r="AC69" i="67"/>
  <c r="CP7" i="67"/>
  <c r="CP11" i="67" s="1"/>
  <c r="CH11" i="67"/>
  <c r="CJ7" i="67"/>
  <c r="CJ11" i="67" s="1"/>
  <c r="CP54" i="67" l="1"/>
  <c r="CJ54" i="67"/>
  <c r="BR26" i="67"/>
  <c r="BQ37" i="67"/>
  <c r="BS26" i="67" l="1"/>
  <c r="BR37" i="67"/>
  <c r="BY26" i="67" l="1"/>
  <c r="BS37" i="67"/>
  <c r="BZ26" i="67" l="1"/>
  <c r="BY37" i="67"/>
  <c r="BZ37" i="67" l="1"/>
  <c r="CA26" i="67"/>
  <c r="CA37" i="67" l="1"/>
  <c r="AL26" i="67"/>
  <c r="AF26" i="67"/>
  <c r="AF37" i="67" s="1"/>
  <c r="CG26" i="67"/>
  <c r="CH26" i="67" l="1"/>
  <c r="CG37" i="67"/>
  <c r="AG37" i="67"/>
  <c r="AL37" i="67"/>
  <c r="AM26" i="67"/>
  <c r="AM37" i="67" l="1"/>
  <c r="CL26" i="67"/>
  <c r="CL37" i="67" s="1"/>
  <c r="CJ26" i="67"/>
  <c r="CJ37" i="67" s="1"/>
  <c r="CH37" i="67"/>
  <c r="CP37" i="67" l="1"/>
  <c r="C11" i="67" l="1"/>
  <c r="C54" i="67" l="1"/>
  <c r="CL7" i="67"/>
  <c r="CL11" i="67" s="1"/>
  <c r="CL52" i="67" l="1"/>
  <c r="CL49" i="67"/>
  <c r="CL50" i="67" s="1"/>
  <c r="C60" i="67" l="1"/>
  <c r="CL54" i="67"/>
  <c r="J69" i="67" l="1"/>
</calcChain>
</file>

<file path=xl/comments1.xml><?xml version="1.0" encoding="utf-8"?>
<comments xmlns="http://schemas.openxmlformats.org/spreadsheetml/2006/main">
  <authors>
    <author>Chambers, Rae</author>
    <author>Ingman, Josh</author>
    <author>Roden, Heather</author>
    <author>Chambers, Raemon</author>
    <author>Burke, Peter</author>
  </authors>
  <commentList>
    <comment ref="O7" authorId="0" shapeId="0">
      <text>
        <r>
          <rPr>
            <b/>
            <sz val="9"/>
            <color indexed="81"/>
            <rFont val="Tahoma"/>
            <family val="2"/>
          </rPr>
          <t>Chambers, Rae:</t>
        </r>
        <r>
          <rPr>
            <sz val="9"/>
            <color indexed="81"/>
            <rFont val="Tahoma"/>
            <family val="2"/>
          </rPr>
          <t xml:space="preserve">
Cost Report No 7 23.9.20
</t>
        </r>
      </text>
    </comment>
    <comment ref="T7" authorId="0" shapeId="0">
      <text>
        <r>
          <rPr>
            <b/>
            <sz val="9"/>
            <color indexed="81"/>
            <rFont val="Tahoma"/>
            <family val="2"/>
          </rPr>
          <t>Chambers, Rae:</t>
        </r>
        <r>
          <rPr>
            <sz val="9"/>
            <color indexed="81"/>
            <rFont val="Tahoma"/>
            <family val="2"/>
          </rPr>
          <t xml:space="preserve">
Cost Report No 7 23.9.20
</t>
        </r>
      </text>
    </comment>
    <comment ref="X7" authorId="0" shapeId="0">
      <text>
        <r>
          <rPr>
            <b/>
            <sz val="9"/>
            <color indexed="81"/>
            <rFont val="Tahoma"/>
            <family val="2"/>
          </rPr>
          <t>Chambers, Rae:</t>
        </r>
        <r>
          <rPr>
            <sz val="9"/>
            <color indexed="81"/>
            <rFont val="Tahoma"/>
            <family val="2"/>
          </rPr>
          <t xml:space="preserve">
Cost Report No 7 23.9.20
</t>
        </r>
      </text>
    </comment>
    <comment ref="AC7" authorId="1" shapeId="0">
      <text>
        <r>
          <rPr>
            <b/>
            <sz val="9"/>
            <color indexed="81"/>
            <rFont val="Tahoma"/>
            <family val="2"/>
          </rPr>
          <t>Ingman, Josh:</t>
        </r>
        <r>
          <rPr>
            <sz val="9"/>
            <color indexed="81"/>
            <rFont val="Tahoma"/>
            <family val="2"/>
          </rPr>
          <t xml:space="preserve">
Less £325,000 which is for the new corridor (line 43)</t>
        </r>
      </text>
    </comment>
    <comment ref="AZ7" authorId="2" shapeId="0">
      <text>
        <r>
          <rPr>
            <b/>
            <sz val="9"/>
            <color indexed="81"/>
            <rFont val="Tahoma"/>
            <family val="2"/>
          </rPr>
          <t>Roden, Heather:</t>
        </r>
        <r>
          <rPr>
            <sz val="9"/>
            <color indexed="81"/>
            <rFont val="Tahoma"/>
            <family val="2"/>
          </rPr>
          <t xml:space="preserve">
Less VAT shown on VAT line</t>
        </r>
      </text>
    </comment>
    <comment ref="BD7" authorId="0" shapeId="0">
      <text>
        <r>
          <rPr>
            <b/>
            <sz val="9"/>
            <color indexed="81"/>
            <rFont val="Tahoma"/>
            <family val="2"/>
          </rPr>
          <t>Chambers, Rae:</t>
        </r>
        <r>
          <rPr>
            <sz val="9"/>
            <color indexed="81"/>
            <rFont val="Tahoma"/>
            <family val="2"/>
          </rPr>
          <t xml:space="preserve">
14.8.20 - Commitment is too little by £130,962 as reversal of last months retention  commitment not taken into account</t>
        </r>
      </text>
    </comment>
    <comment ref="BH7" authorId="1" shapeId="0">
      <text>
        <r>
          <rPr>
            <b/>
            <sz val="9"/>
            <color indexed="81"/>
            <rFont val="Tahoma"/>
            <family val="2"/>
          </rPr>
          <t>Ingman, Josh:</t>
        </r>
        <r>
          <rPr>
            <sz val="9"/>
            <color indexed="81"/>
            <rFont val="Tahoma"/>
            <family val="2"/>
          </rPr>
          <t xml:space="preserve">
HR contacted AECOM for details of 2mil less
HR to speak with Kate. </t>
        </r>
      </text>
    </comment>
    <comment ref="BI7" authorId="1" shapeId="0">
      <text>
        <r>
          <rPr>
            <b/>
            <sz val="9"/>
            <color indexed="81"/>
            <rFont val="Tahoma"/>
            <family val="2"/>
          </rPr>
          <t>Ingman, Josh:</t>
        </r>
        <r>
          <rPr>
            <sz val="9"/>
            <color indexed="81"/>
            <rFont val="Tahoma"/>
            <family val="2"/>
          </rPr>
          <t xml:space="preserve">
Forecast £800,731</t>
        </r>
      </text>
    </comment>
    <comment ref="CC7" authorId="1" shapeId="0">
      <text>
        <r>
          <rPr>
            <b/>
            <sz val="9"/>
            <color indexed="81"/>
            <rFont val="Tahoma"/>
            <family val="2"/>
          </rPr>
          <t>Ingman, Josh:</t>
        </r>
        <r>
          <rPr>
            <sz val="9"/>
            <color indexed="81"/>
            <rFont val="Tahoma"/>
            <family val="2"/>
          </rPr>
          <t xml:space="preserve">
On the forecast this is down for Apr 22. Ask HR to review.</t>
        </r>
      </text>
    </comment>
    <comment ref="AC9" authorId="1" shapeId="0">
      <text>
        <r>
          <rPr>
            <b/>
            <sz val="9"/>
            <color indexed="81"/>
            <rFont val="Tahoma"/>
            <family val="2"/>
          </rPr>
          <t>Ingman, Josh:</t>
        </r>
        <r>
          <rPr>
            <sz val="9"/>
            <color indexed="81"/>
            <rFont val="Tahoma"/>
            <family val="2"/>
          </rPr>
          <t xml:space="preserve">
£793164 used to fund corridor, from construction risk allowance</t>
        </r>
      </text>
    </comment>
    <comment ref="BE9" authorId="0" shapeId="0">
      <text>
        <r>
          <rPr>
            <b/>
            <sz val="9"/>
            <color indexed="81"/>
            <rFont val="Tahoma"/>
            <family val="2"/>
          </rPr>
          <t>Chambers, Rae:</t>
        </r>
        <r>
          <rPr>
            <sz val="9"/>
            <color indexed="81"/>
            <rFont val="Tahoma"/>
            <family val="2"/>
          </rPr>
          <t xml:space="preserve">
GV 24.6.20 estimate had April</t>
        </r>
      </text>
    </comment>
    <comment ref="BK9" authorId="1" shapeId="0">
      <text>
        <r>
          <rPr>
            <b/>
            <sz val="9"/>
            <color indexed="81"/>
            <rFont val="Tahoma"/>
            <family val="2"/>
          </rPr>
          <t>Ingman, Josh:</t>
        </r>
        <r>
          <rPr>
            <sz val="9"/>
            <color indexed="81"/>
            <rFont val="Tahoma"/>
            <family val="2"/>
          </rPr>
          <t xml:space="preserve">
£116,850 expected to be done in Jan &amp; Feb. Has this work been undertaken, does this need to be accrued? Do we have details of work complete and invoices?</t>
        </r>
      </text>
    </comment>
    <comment ref="BK15" authorId="1" shapeId="0">
      <text>
        <r>
          <rPr>
            <b/>
            <sz val="9"/>
            <color indexed="81"/>
            <rFont val="Tahoma"/>
            <family val="2"/>
          </rPr>
          <t>Ingman, Josh:</t>
        </r>
        <r>
          <rPr>
            <sz val="9"/>
            <color indexed="81"/>
            <rFont val="Tahoma"/>
            <family val="2"/>
          </rPr>
          <t xml:space="preserve">
Accrual input for April-Jan. Need details of this for year end. Will likely need to increase accrual for Feb &amp; Mar 21.Need to check with Graham.</t>
        </r>
      </text>
    </comment>
    <comment ref="BK16" authorId="1" shapeId="0">
      <text>
        <r>
          <rPr>
            <b/>
            <sz val="9"/>
            <color indexed="81"/>
            <rFont val="Tahoma"/>
            <family val="2"/>
          </rPr>
          <t>Ingman, Josh:</t>
        </r>
        <r>
          <rPr>
            <sz val="9"/>
            <color indexed="81"/>
            <rFont val="Tahoma"/>
            <family val="2"/>
          </rPr>
          <t xml:space="preserve">
Capsticks accrual of £5534 should have been reduced to reflect these costs of £1179. Reduce in M12. All on C0100065155001.</t>
        </r>
      </text>
    </comment>
    <comment ref="BA27" authorId="3" shapeId="0">
      <text>
        <r>
          <rPr>
            <b/>
            <sz val="9"/>
            <color indexed="81"/>
            <rFont val="Tahoma"/>
            <family val="2"/>
          </rPr>
          <t>Chambers, Raemon:</t>
        </r>
        <r>
          <rPr>
            <sz val="9"/>
            <color indexed="81"/>
            <rFont val="Tahoma"/>
            <family val="2"/>
          </rPr>
          <t xml:space="preserve">
S Watkins 3,946
Webcam &amp; cable £64
Docking station £254
It Equipment £595
</t>
        </r>
      </text>
    </comment>
    <comment ref="BB27" authorId="3" shapeId="0">
      <text>
        <r>
          <rPr>
            <b/>
            <sz val="9"/>
            <color indexed="81"/>
            <rFont val="Tahoma"/>
            <family val="2"/>
          </rPr>
          <t>Chambers, Raemon:</t>
        </r>
        <r>
          <rPr>
            <sz val="9"/>
            <color indexed="81"/>
            <rFont val="Tahoma"/>
            <family val="2"/>
          </rPr>
          <t xml:space="preserve">
S Watkins 3,946</t>
        </r>
      </text>
    </comment>
    <comment ref="BC27" authorId="3" shapeId="0">
      <text>
        <r>
          <rPr>
            <b/>
            <sz val="9"/>
            <color indexed="81"/>
            <rFont val="Tahoma"/>
            <family val="2"/>
          </rPr>
          <t>Chambers, Raemon:</t>
        </r>
        <r>
          <rPr>
            <sz val="9"/>
            <color indexed="81"/>
            <rFont val="Tahoma"/>
            <family val="2"/>
          </rPr>
          <t xml:space="preserve">
S Watkins 3,946
Print 3
Tv 705</t>
        </r>
      </text>
    </comment>
    <comment ref="BD27" authorId="3" shapeId="0">
      <text>
        <r>
          <rPr>
            <b/>
            <sz val="9"/>
            <color indexed="81"/>
            <rFont val="Tahoma"/>
            <family val="2"/>
          </rPr>
          <t>Chambers, Raemon:</t>
        </r>
        <r>
          <rPr>
            <sz val="9"/>
            <color indexed="81"/>
            <rFont val="Tahoma"/>
            <family val="2"/>
          </rPr>
          <t xml:space="preserve">
S Watkins 3,946
K Nation 8,054 
Print 10</t>
        </r>
      </text>
    </comment>
    <comment ref="BE27" authorId="3" shapeId="0">
      <text>
        <r>
          <rPr>
            <b/>
            <sz val="9"/>
            <color indexed="81"/>
            <rFont val="Tahoma"/>
            <family val="2"/>
          </rPr>
          <t>Chambers, Raemon:</t>
        </r>
        <r>
          <rPr>
            <sz val="9"/>
            <color indexed="81"/>
            <rFont val="Tahoma"/>
            <family val="2"/>
          </rPr>
          <t xml:space="preserve">
S Watkins 3,946
K Nation 4,027
Print 41</t>
        </r>
      </text>
    </comment>
    <comment ref="BF27" authorId="3" shapeId="0">
      <text>
        <r>
          <rPr>
            <b/>
            <sz val="9"/>
            <color indexed="81"/>
            <rFont val="Tahoma"/>
            <family val="2"/>
          </rPr>
          <t>Chambers, Raemon:</t>
        </r>
        <r>
          <rPr>
            <sz val="9"/>
            <color indexed="81"/>
            <rFont val="Tahoma"/>
            <family val="2"/>
          </rPr>
          <t xml:space="preserve">
S Watkins 3,946
K Nation 4,027
Print 6
</t>
        </r>
      </text>
    </comment>
    <comment ref="BI27" authorId="1" shapeId="0">
      <text>
        <r>
          <rPr>
            <b/>
            <sz val="9"/>
            <color indexed="81"/>
            <rFont val="Tahoma"/>
            <family val="2"/>
          </rPr>
          <t>Ingman, Josh:</t>
        </r>
        <r>
          <rPr>
            <sz val="9"/>
            <color indexed="81"/>
            <rFont val="Tahoma"/>
            <family val="2"/>
          </rPr>
          <t xml:space="preserve">
No charge for KM Nation</t>
        </r>
      </text>
    </comment>
    <comment ref="BJ27" authorId="1" shapeId="0">
      <text>
        <r>
          <rPr>
            <b/>
            <sz val="9"/>
            <color indexed="81"/>
            <rFont val="Tahoma"/>
            <family val="2"/>
          </rPr>
          <t>Ingman, Josh:</t>
        </r>
        <r>
          <rPr>
            <sz val="9"/>
            <color indexed="81"/>
            <rFont val="Tahoma"/>
            <family val="2"/>
          </rPr>
          <t xml:space="preserve">
No charge for KM Nation</t>
        </r>
      </text>
    </comment>
    <comment ref="BL27" authorId="1" shapeId="0">
      <text>
        <r>
          <rPr>
            <b/>
            <sz val="9"/>
            <color indexed="81"/>
            <rFont val="Tahoma"/>
            <family val="2"/>
          </rPr>
          <t>Ingman, Josh:</t>
        </r>
        <r>
          <rPr>
            <sz val="9"/>
            <color indexed="81"/>
            <rFont val="Tahoma"/>
            <family val="2"/>
          </rPr>
          <t xml:space="preserve">
Includes Dec &amp; Jan recharge for KM Nation</t>
        </r>
      </text>
    </comment>
    <comment ref="BD29" authorId="0" shapeId="0">
      <text>
        <r>
          <rPr>
            <b/>
            <sz val="9"/>
            <color indexed="81"/>
            <rFont val="Tahoma"/>
            <family val="2"/>
          </rPr>
          <t>Chambers, Rae:</t>
        </r>
        <r>
          <rPr>
            <sz val="9"/>
            <color indexed="81"/>
            <rFont val="Tahoma"/>
            <family val="2"/>
          </rPr>
          <t xml:space="preserve">
£1,159 added to contingency</t>
        </r>
      </text>
    </comment>
    <comment ref="BE29" authorId="0" shapeId="0">
      <text>
        <r>
          <rPr>
            <b/>
            <sz val="9"/>
            <color indexed="81"/>
            <rFont val="Tahoma"/>
            <family val="2"/>
          </rPr>
          <t>Chambers, Rae:</t>
        </r>
        <r>
          <rPr>
            <sz val="9"/>
            <color indexed="81"/>
            <rFont val="Tahoma"/>
            <family val="2"/>
          </rPr>
          <t xml:space="preserve">
£227 added to contingency
£41 added to contingency</t>
        </r>
      </text>
    </comment>
    <comment ref="BF29" authorId="0" shapeId="0">
      <text>
        <r>
          <rPr>
            <b/>
            <sz val="9"/>
            <color indexed="81"/>
            <rFont val="Tahoma"/>
            <family val="2"/>
          </rPr>
          <t>Chambers, Rae:</t>
        </r>
        <r>
          <rPr>
            <sz val="9"/>
            <color indexed="81"/>
            <rFont val="Tahoma"/>
            <family val="2"/>
          </rPr>
          <t xml:space="preserve">
£227 added to contingency</t>
        </r>
      </text>
    </comment>
    <comment ref="BG29" authorId="0" shapeId="0">
      <text>
        <r>
          <rPr>
            <b/>
            <sz val="9"/>
            <color indexed="81"/>
            <rFont val="Tahoma"/>
            <family val="2"/>
          </rPr>
          <t>Chambers, Rae:</t>
        </r>
        <r>
          <rPr>
            <sz val="9"/>
            <color indexed="81"/>
            <rFont val="Tahoma"/>
            <family val="2"/>
          </rPr>
          <t xml:space="preserve">
£227 added to contingency</t>
        </r>
      </text>
    </comment>
    <comment ref="BH29" authorId="0" shapeId="0">
      <text>
        <r>
          <rPr>
            <b/>
            <sz val="9"/>
            <color indexed="81"/>
            <rFont val="Tahoma"/>
            <family val="2"/>
          </rPr>
          <t>Chambers, Rae:</t>
        </r>
        <r>
          <rPr>
            <sz val="9"/>
            <color indexed="81"/>
            <rFont val="Tahoma"/>
            <family val="2"/>
          </rPr>
          <t xml:space="preserve">
£227 added to contingency</t>
        </r>
      </text>
    </comment>
    <comment ref="BI29" authorId="0" shapeId="0">
      <text>
        <r>
          <rPr>
            <b/>
            <sz val="9"/>
            <color indexed="81"/>
            <rFont val="Tahoma"/>
            <family val="2"/>
          </rPr>
          <t>Chambers, Rae:</t>
        </r>
        <r>
          <rPr>
            <sz val="9"/>
            <color indexed="81"/>
            <rFont val="Tahoma"/>
            <family val="2"/>
          </rPr>
          <t xml:space="preserve">
£227 added to contingency</t>
        </r>
      </text>
    </comment>
    <comment ref="BJ29" authorId="0" shapeId="0">
      <text>
        <r>
          <rPr>
            <b/>
            <sz val="9"/>
            <color indexed="81"/>
            <rFont val="Tahoma"/>
            <family val="2"/>
          </rPr>
          <t>Chambers, Rae:</t>
        </r>
        <r>
          <rPr>
            <sz val="9"/>
            <color indexed="81"/>
            <rFont val="Tahoma"/>
            <family val="2"/>
          </rPr>
          <t xml:space="preserve">
£227 added to contingency</t>
        </r>
      </text>
    </comment>
    <comment ref="BK29" authorId="0" shapeId="0">
      <text>
        <r>
          <rPr>
            <b/>
            <sz val="9"/>
            <color indexed="81"/>
            <rFont val="Tahoma"/>
            <family val="2"/>
          </rPr>
          <t>Chambers, Rae:</t>
        </r>
        <r>
          <rPr>
            <sz val="9"/>
            <color indexed="81"/>
            <rFont val="Tahoma"/>
            <family val="2"/>
          </rPr>
          <t xml:space="preserve">
£227 added to contingency</t>
        </r>
      </text>
    </comment>
    <comment ref="BL29" authorId="0" shapeId="0">
      <text>
        <r>
          <rPr>
            <b/>
            <sz val="9"/>
            <color indexed="81"/>
            <rFont val="Tahoma"/>
            <family val="2"/>
          </rPr>
          <t>Chambers, Rae:</t>
        </r>
        <r>
          <rPr>
            <sz val="9"/>
            <color indexed="81"/>
            <rFont val="Tahoma"/>
            <family val="2"/>
          </rPr>
          <t xml:space="preserve">
£227 added to contingency</t>
        </r>
      </text>
    </comment>
    <comment ref="BK30" authorId="1" shapeId="0">
      <text>
        <r>
          <rPr>
            <b/>
            <sz val="9"/>
            <color indexed="81"/>
            <rFont val="Tahoma"/>
            <family val="2"/>
          </rPr>
          <t>Ingman, Josh:</t>
        </r>
        <r>
          <rPr>
            <sz val="9"/>
            <color indexed="81"/>
            <rFont val="Tahoma"/>
            <family val="2"/>
          </rPr>
          <t xml:space="preserve">
£25000 was forecast in Feb - was any work undertaken - should this be accrued for? Pushed all back in to March whilst details are being checked</t>
        </r>
      </text>
    </comment>
    <comment ref="BH31" authorId="1" shapeId="0">
      <text>
        <r>
          <rPr>
            <b/>
            <sz val="9"/>
            <color indexed="81"/>
            <rFont val="Tahoma"/>
            <family val="2"/>
          </rPr>
          <t>Ingman, Josh:</t>
        </r>
        <r>
          <rPr>
            <sz val="9"/>
            <color indexed="81"/>
            <rFont val="Tahoma"/>
            <family val="2"/>
          </rPr>
          <t xml:space="preserve">
No charge but had a forecast of £3,196</t>
        </r>
      </text>
    </comment>
    <comment ref="BI31" authorId="1" shapeId="0">
      <text>
        <r>
          <rPr>
            <b/>
            <sz val="9"/>
            <color indexed="81"/>
            <rFont val="Tahoma"/>
            <family val="2"/>
          </rPr>
          <t>Ingman, Josh:</t>
        </r>
        <r>
          <rPr>
            <sz val="9"/>
            <color indexed="81"/>
            <rFont val="Tahoma"/>
            <family val="2"/>
          </rPr>
          <t xml:space="preserve">
No costs so forecast pushed back</t>
        </r>
      </text>
    </comment>
    <comment ref="BJ31" authorId="1" shapeId="0">
      <text>
        <r>
          <rPr>
            <b/>
            <sz val="9"/>
            <color indexed="81"/>
            <rFont val="Tahoma"/>
            <family val="2"/>
          </rPr>
          <t>Ingman, Josh:</t>
        </r>
        <r>
          <rPr>
            <sz val="9"/>
            <color indexed="81"/>
            <rFont val="Tahoma"/>
            <family val="2"/>
          </rPr>
          <t xml:space="preserve">
No costs so forecast pushed back</t>
        </r>
      </text>
    </comment>
    <comment ref="BK31" authorId="1" shapeId="0">
      <text>
        <r>
          <rPr>
            <b/>
            <sz val="9"/>
            <color indexed="81"/>
            <rFont val="Tahoma"/>
            <family val="2"/>
          </rPr>
          <t>Ingman, Josh:</t>
        </r>
        <r>
          <rPr>
            <sz val="9"/>
            <color indexed="81"/>
            <rFont val="Tahoma"/>
            <family val="2"/>
          </rPr>
          <t xml:space="preserve">
No costs so forecast pushed back. Are costs expected this FY. Has work been undertaken should this be being accrued?</t>
        </r>
      </text>
    </comment>
    <comment ref="BJ32" authorId="1" shapeId="0">
      <text>
        <r>
          <rPr>
            <b/>
            <sz val="9"/>
            <color indexed="81"/>
            <rFont val="Tahoma"/>
            <family val="2"/>
          </rPr>
          <t>Ingman, Josh:</t>
        </r>
        <r>
          <rPr>
            <sz val="9"/>
            <color indexed="81"/>
            <rFont val="Tahoma"/>
            <family val="2"/>
          </rPr>
          <t xml:space="preserve">
No costs so forecast pushed back</t>
        </r>
      </text>
    </comment>
    <comment ref="BK32" authorId="1" shapeId="0">
      <text>
        <r>
          <rPr>
            <b/>
            <sz val="9"/>
            <color indexed="81"/>
            <rFont val="Tahoma"/>
            <family val="2"/>
          </rPr>
          <t>Ingman, Josh:</t>
        </r>
        <r>
          <rPr>
            <sz val="9"/>
            <color indexed="81"/>
            <rFont val="Tahoma"/>
            <family val="2"/>
          </rPr>
          <t xml:space="preserve">
No costs so forecast pushed back. Are costs expected this FY. Has work been undertaken should this be being accrued?</t>
        </r>
      </text>
    </comment>
    <comment ref="BK33" authorId="1" shapeId="0">
      <text>
        <r>
          <rPr>
            <b/>
            <sz val="9"/>
            <color indexed="81"/>
            <rFont val="Tahoma"/>
            <family val="2"/>
          </rPr>
          <t>Ingman, Josh:</t>
        </r>
        <r>
          <rPr>
            <sz val="9"/>
            <color indexed="81"/>
            <rFont val="Tahoma"/>
            <family val="2"/>
          </rPr>
          <t xml:space="preserve">
Dropped accruals for Midland Endocrine &amp; Osteoporosis as currently no evidence to back up accrual as based on forecast. Need to check with Graham if any work has been undertaken by Clinician/nurse for project support since August.</t>
        </r>
      </text>
    </comment>
    <comment ref="BH35" authorId="1" shapeId="0">
      <text>
        <r>
          <rPr>
            <b/>
            <sz val="9"/>
            <color indexed="81"/>
            <rFont val="Tahoma"/>
            <family val="2"/>
          </rPr>
          <t>Ingman, Josh:</t>
        </r>
        <r>
          <rPr>
            <sz val="9"/>
            <color indexed="81"/>
            <rFont val="Tahoma"/>
            <family val="2"/>
          </rPr>
          <t xml:space="preserve">
0 rather than 8805, is this due to the delay in opening?</t>
        </r>
      </text>
    </comment>
    <comment ref="BK35" authorId="1" shapeId="0">
      <text>
        <r>
          <rPr>
            <b/>
            <sz val="9"/>
            <color indexed="81"/>
            <rFont val="Tahoma"/>
            <family val="2"/>
          </rPr>
          <t>Ingman, Josh:</t>
        </r>
        <r>
          <rPr>
            <sz val="9"/>
            <color indexed="81"/>
            <rFont val="Tahoma"/>
            <family val="2"/>
          </rPr>
          <t xml:space="preserve">
Invoiced up to end of December. Has work been undertaken for Jan-Mar, if so work will need to be accrued for. Check with Graham.</t>
        </r>
      </text>
    </comment>
    <comment ref="BN35" authorId="2" shapeId="0">
      <text>
        <r>
          <rPr>
            <b/>
            <sz val="9"/>
            <color indexed="81"/>
            <rFont val="Tahoma"/>
            <family val="2"/>
          </rPr>
          <t>Roden, Heather:</t>
        </r>
        <r>
          <rPr>
            <sz val="9"/>
            <color indexed="81"/>
            <rFont val="Tahoma"/>
            <family val="2"/>
          </rPr>
          <t xml:space="preserve">
£12k for commissioning
</t>
        </r>
      </text>
    </comment>
    <comment ref="BC36" authorId="0" shapeId="0">
      <text>
        <r>
          <rPr>
            <b/>
            <sz val="9"/>
            <color indexed="81"/>
            <rFont val="Tahoma"/>
            <family val="2"/>
          </rPr>
          <t>Chambers, Rae:</t>
        </r>
        <r>
          <rPr>
            <sz val="9"/>
            <color indexed="81"/>
            <rFont val="Tahoma"/>
            <family val="2"/>
          </rPr>
          <t xml:space="preserve">
</t>
        </r>
        <r>
          <rPr>
            <b/>
            <sz val="9"/>
            <color indexed="81"/>
            <rFont val="Tahoma"/>
            <family val="2"/>
          </rPr>
          <t>Contingency reduced by this</t>
        </r>
        <r>
          <rPr>
            <sz val="9"/>
            <color indexed="81"/>
            <rFont val="Tahoma"/>
            <family val="2"/>
          </rPr>
          <t xml:space="preserve">
Environ Management - £789 - soil sampling
</t>
        </r>
      </text>
    </comment>
    <comment ref="BD36" authorId="0" shapeId="0">
      <text>
        <r>
          <rPr>
            <b/>
            <sz val="9"/>
            <color indexed="81"/>
            <rFont val="Tahoma"/>
            <family val="2"/>
          </rPr>
          <t>Chambers, Rae:</t>
        </r>
        <r>
          <rPr>
            <sz val="9"/>
            <color indexed="81"/>
            <rFont val="Tahoma"/>
            <family val="2"/>
          </rPr>
          <t xml:space="preserve">
</t>
        </r>
        <r>
          <rPr>
            <b/>
            <sz val="9"/>
            <color indexed="81"/>
            <rFont val="Tahoma"/>
            <family val="2"/>
          </rPr>
          <t>Contingency reduced by this</t>
        </r>
        <r>
          <rPr>
            <sz val="9"/>
            <color indexed="81"/>
            <rFont val="Tahoma"/>
            <family val="2"/>
          </rPr>
          <t xml:space="preserve">
Integrated Transport Planning - £3,300 - transport plan
</t>
        </r>
      </text>
    </comment>
    <comment ref="BL36" authorId="1" shapeId="0">
      <text>
        <r>
          <rPr>
            <b/>
            <sz val="9"/>
            <color indexed="81"/>
            <rFont val="Tahoma"/>
            <family val="2"/>
          </rPr>
          <t>Ingman, Josh:</t>
        </r>
        <r>
          <rPr>
            <sz val="9"/>
            <color indexed="81"/>
            <rFont val="Tahoma"/>
            <family val="2"/>
          </rPr>
          <t xml:space="preserve">
Pull print costs</t>
        </r>
      </text>
    </comment>
    <comment ref="AC37" authorId="1" shapeId="0">
      <text>
        <r>
          <rPr>
            <b/>
            <sz val="9"/>
            <color indexed="81"/>
            <rFont val="Tahoma"/>
            <family val="2"/>
          </rPr>
          <t>Ingman, Josh:</t>
        </r>
        <r>
          <rPr>
            <sz val="9"/>
            <color indexed="81"/>
            <rFont val="Tahoma"/>
            <family val="2"/>
          </rPr>
          <t xml:space="preserve">
Report + £16,896 funded from contingency (reduced on line 43)</t>
        </r>
      </text>
    </comment>
    <comment ref="AI37" authorId="1" shapeId="0">
      <text>
        <r>
          <rPr>
            <b/>
            <sz val="9"/>
            <color indexed="81"/>
            <rFont val="Tahoma"/>
            <family val="2"/>
          </rPr>
          <t>Ingman, Josh:</t>
        </r>
        <r>
          <rPr>
            <sz val="9"/>
            <color indexed="81"/>
            <rFont val="Tahoma"/>
            <family val="2"/>
          </rPr>
          <t xml:space="preserve">
Report + £16,896 funded from contingency (reduced on line 43)</t>
        </r>
      </text>
    </comment>
    <comment ref="BH45" authorId="1" shapeId="0">
      <text>
        <r>
          <rPr>
            <b/>
            <sz val="9"/>
            <color indexed="81"/>
            <rFont val="Tahoma"/>
            <family val="2"/>
          </rPr>
          <t>Ingman, Josh:</t>
        </r>
        <r>
          <rPr>
            <sz val="9"/>
            <color indexed="81"/>
            <rFont val="Tahoma"/>
            <family val="2"/>
          </rPr>
          <t xml:space="preserve">
Significantly less due to delay from Jan/Feb opening to April - £35k rather than 270k forecast</t>
        </r>
      </text>
    </comment>
    <comment ref="C54" authorId="4" shapeId="0">
      <text>
        <r>
          <rPr>
            <b/>
            <sz val="9"/>
            <color indexed="81"/>
            <rFont val="Tahoma"/>
            <family val="2"/>
          </rPr>
          <t>Burke, Peter:</t>
        </r>
        <r>
          <rPr>
            <sz val="9"/>
            <color indexed="81"/>
            <rFont val="Tahoma"/>
            <family val="2"/>
          </rPr>
          <t xml:space="preserve">
No VAT on contingency
</t>
        </r>
      </text>
    </comment>
    <comment ref="L54" authorId="0" shapeId="0">
      <text>
        <r>
          <rPr>
            <b/>
            <sz val="9"/>
            <color indexed="81"/>
            <rFont val="Tahoma"/>
            <family val="2"/>
          </rPr>
          <t>Chambers, Rae:</t>
        </r>
        <r>
          <rPr>
            <sz val="9"/>
            <color indexed="81"/>
            <rFont val="Tahoma"/>
            <family val="2"/>
          </rPr>
          <t xml:space="preserve">
21.7.20 - Reduced by £8,500 being VAT included in £51k fee increase
</t>
        </r>
      </text>
    </comment>
    <comment ref="Q54" authorId="0" shapeId="0">
      <text>
        <r>
          <rPr>
            <b/>
            <sz val="9"/>
            <color indexed="81"/>
            <rFont val="Tahoma"/>
            <family val="2"/>
          </rPr>
          <t>Chambers, Rae:</t>
        </r>
        <r>
          <rPr>
            <sz val="9"/>
            <color indexed="81"/>
            <rFont val="Tahoma"/>
            <family val="2"/>
          </rPr>
          <t xml:space="preserve">
21.7.20 - Reduced by £8,500 being VAT included in £51k fee increase
</t>
        </r>
      </text>
    </comment>
    <comment ref="V54" authorId="0" shapeId="0">
      <text>
        <r>
          <rPr>
            <b/>
            <sz val="9"/>
            <color indexed="81"/>
            <rFont val="Tahoma"/>
            <family val="2"/>
          </rPr>
          <t>Chambers, Rae:</t>
        </r>
        <r>
          <rPr>
            <sz val="9"/>
            <color indexed="81"/>
            <rFont val="Tahoma"/>
            <family val="2"/>
          </rPr>
          <t xml:space="preserve">
21.7.20 - Reduced by £8,500 being VAT included in £51k fee increase
</t>
        </r>
      </text>
    </comment>
    <comment ref="Z54" authorId="0" shapeId="0">
      <text>
        <r>
          <rPr>
            <b/>
            <sz val="9"/>
            <color indexed="81"/>
            <rFont val="Tahoma"/>
            <family val="2"/>
          </rPr>
          <t>Chambers, Rae:</t>
        </r>
        <r>
          <rPr>
            <sz val="9"/>
            <color indexed="81"/>
            <rFont val="Tahoma"/>
            <family val="2"/>
          </rPr>
          <t xml:space="preserve">
21.7.20 - Reduced by £8,500 being VAT included in £51k fee increase
</t>
        </r>
      </text>
    </comment>
    <comment ref="AC54" authorId="1" shapeId="0">
      <text>
        <r>
          <rPr>
            <b/>
            <sz val="9"/>
            <color indexed="81"/>
            <rFont val="Tahoma"/>
            <family val="2"/>
          </rPr>
          <t>Ingman, Josh:</t>
        </r>
        <r>
          <rPr>
            <sz val="9"/>
            <color indexed="81"/>
            <rFont val="Tahoma"/>
            <family val="2"/>
          </rPr>
          <t xml:space="preserve">
May need to be reduced by £8,500 as per Rae's comments from 21.07.20 regarding £51k fees</t>
        </r>
      </text>
    </comment>
    <comment ref="AE54" authorId="0" shapeId="0">
      <text>
        <r>
          <rPr>
            <b/>
            <sz val="9"/>
            <color indexed="81"/>
            <rFont val="Tahoma"/>
            <family val="2"/>
          </rPr>
          <t>Chambers, Rae:</t>
        </r>
        <r>
          <rPr>
            <sz val="9"/>
            <color indexed="81"/>
            <rFont val="Tahoma"/>
            <family val="2"/>
          </rPr>
          <t xml:space="preserve">
21.7.20 - Reduced by £8,500 being VAT included in £51k fee increase
</t>
        </r>
      </text>
    </comment>
    <comment ref="AZ54" authorId="2" shapeId="0">
      <text>
        <r>
          <rPr>
            <b/>
            <sz val="9"/>
            <color indexed="81"/>
            <rFont val="Tahoma"/>
            <family val="2"/>
          </rPr>
          <t>Roden, Heather:</t>
        </r>
        <r>
          <rPr>
            <sz val="9"/>
            <color indexed="81"/>
            <rFont val="Tahoma"/>
            <family val="2"/>
          </rPr>
          <t xml:space="preserve">
59451 MTX VAT on works not design</t>
        </r>
      </text>
    </comment>
    <comment ref="BI54" authorId="0" shapeId="0">
      <text>
        <r>
          <rPr>
            <b/>
            <sz val="9"/>
            <color indexed="81"/>
            <rFont val="Tahoma"/>
            <family val="2"/>
          </rPr>
          <t>Chambers, Rae:</t>
        </r>
        <r>
          <rPr>
            <sz val="9"/>
            <color indexed="81"/>
            <rFont val="Tahoma"/>
            <family val="2"/>
          </rPr>
          <t xml:space="preserve">
21.7.20 - reduced by £49,008 to balance -20% of R9+R37+R42+R44 is greater than R46
18.9.20 increased by £26,192 to balance</t>
        </r>
      </text>
    </comment>
  </commentList>
</comments>
</file>

<file path=xl/comments2.xml><?xml version="1.0" encoding="utf-8"?>
<comments xmlns="http://schemas.openxmlformats.org/spreadsheetml/2006/main">
  <authors>
    <author>Burke, Peter</author>
  </authors>
  <commentList>
    <comment ref="O13" authorId="0" shapeId="0">
      <text>
        <r>
          <rPr>
            <b/>
            <sz val="9"/>
            <color indexed="81"/>
            <rFont val="Tahoma"/>
            <charset val="1"/>
          </rPr>
          <t>Burke, Peter:</t>
        </r>
        <r>
          <rPr>
            <sz val="9"/>
            <color indexed="81"/>
            <rFont val="Tahoma"/>
            <charset val="1"/>
          </rPr>
          <t xml:space="preserve">
zero?
</t>
        </r>
      </text>
    </comment>
    <comment ref="G34" authorId="0" shapeId="0">
      <text>
        <r>
          <rPr>
            <b/>
            <sz val="9"/>
            <color indexed="81"/>
            <rFont val="Tahoma"/>
            <charset val="1"/>
          </rPr>
          <t>Burke, Peter:</t>
        </r>
        <r>
          <rPr>
            <sz val="9"/>
            <color indexed="81"/>
            <rFont val="Tahoma"/>
            <charset val="1"/>
          </rPr>
          <t xml:space="preserve">
will increase to @512K
is the 450K net of VAT?
</t>
        </r>
      </text>
    </comment>
    <comment ref="O34" authorId="0" shapeId="0">
      <text>
        <r>
          <rPr>
            <b/>
            <sz val="9"/>
            <color indexed="81"/>
            <rFont val="Tahoma"/>
            <charset val="1"/>
          </rPr>
          <t>Burke, Peter:</t>
        </r>
        <r>
          <rPr>
            <sz val="9"/>
            <color indexed="81"/>
            <rFont val="Tahoma"/>
            <charset val="1"/>
          </rPr>
          <t xml:space="preserve">
will increase to @512K
is the 450K net of VAT?
</t>
        </r>
      </text>
    </comment>
    <comment ref="G35" authorId="0" shapeId="0">
      <text>
        <r>
          <rPr>
            <b/>
            <sz val="9"/>
            <color indexed="81"/>
            <rFont val="Tahoma"/>
            <family val="2"/>
          </rPr>
          <t>Burke, Peter:</t>
        </r>
        <r>
          <rPr>
            <sz val="9"/>
            <color indexed="81"/>
            <rFont val="Tahoma"/>
            <family val="2"/>
          </rPr>
          <t xml:space="preserve">
estimate</t>
        </r>
      </text>
    </comment>
    <comment ref="O58" authorId="0" shapeId="0">
      <text>
        <r>
          <rPr>
            <b/>
            <sz val="9"/>
            <color indexed="81"/>
            <rFont val="Tahoma"/>
            <charset val="1"/>
          </rPr>
          <t>Burke, Peter:</t>
        </r>
        <r>
          <rPr>
            <sz val="9"/>
            <color indexed="81"/>
            <rFont val="Tahoma"/>
            <charset val="1"/>
          </rPr>
          <t xml:space="preserve">
will increase to @512K
is the 450K net of VAT?
</t>
        </r>
      </text>
    </comment>
  </commentList>
</comments>
</file>

<file path=xl/sharedStrings.xml><?xml version="1.0" encoding="utf-8"?>
<sst xmlns="http://schemas.openxmlformats.org/spreadsheetml/2006/main" count="224" uniqueCount="185">
  <si>
    <t>19/20</t>
  </si>
  <si>
    <t>20/21</t>
  </si>
  <si>
    <t>Construction Costs</t>
  </si>
  <si>
    <t>Total Construction Costs</t>
  </si>
  <si>
    <t>Equipment</t>
  </si>
  <si>
    <t>Total Contingency</t>
  </si>
  <si>
    <t>21/22</t>
  </si>
  <si>
    <t>Revised Budget 18.5.20</t>
  </si>
  <si>
    <t xml:space="preserve">Total Capital </t>
  </si>
  <si>
    <t>Cross check</t>
  </si>
  <si>
    <t>Actual expenditure 2019/20</t>
  </si>
  <si>
    <t>Total Forecast</t>
  </si>
  <si>
    <t>Revised Budget 21.7.20</t>
  </si>
  <si>
    <t>Variance - Forecast v's Initial Budget</t>
  </si>
  <si>
    <t>Revised Budget 23.9.20</t>
  </si>
  <si>
    <t>Revised Budget 9.10.20</t>
  </si>
  <si>
    <t>Revised Budget 20.10.20 (cost report 8)</t>
  </si>
  <si>
    <t>Variance - Forecast v's Revised Budget 20.10.20</t>
  </si>
  <si>
    <t>Revised Budget 23.12.20 (cost report 10)</t>
  </si>
  <si>
    <t>Diff</t>
  </si>
  <si>
    <t>Variance to MTX Cost report</t>
  </si>
  <si>
    <t>N/A</t>
  </si>
  <si>
    <t>Contingency required</t>
  </si>
  <si>
    <t>Difference</t>
  </si>
  <si>
    <t>AECOM cost report no 12</t>
  </si>
  <si>
    <t>Actuals 20/21</t>
  </si>
  <si>
    <t>Forecast 24/25</t>
  </si>
  <si>
    <t>Actual 23/24</t>
  </si>
  <si>
    <t>Forecast 25/24</t>
  </si>
  <si>
    <t>23/24</t>
  </si>
  <si>
    <t>24/25</t>
  </si>
  <si>
    <t>25/26</t>
  </si>
  <si>
    <t>Trust Professional Fees</t>
  </si>
  <si>
    <r>
      <t xml:space="preserve">Revised Budget </t>
    </r>
    <r>
      <rPr>
        <b/>
        <sz val="11"/>
        <color rgb="FFFF0000"/>
        <rFont val="Calibri"/>
        <family val="2"/>
        <scheme val="minor"/>
      </rPr>
      <t xml:space="preserve"> (add date)</t>
    </r>
  </si>
  <si>
    <t>Works cost contingency from cost plan is omitted and an overall contingency included below</t>
  </si>
  <si>
    <t>Sub-total</t>
  </si>
  <si>
    <t>C/f to 2023 Estimate Overall Capital</t>
  </si>
  <si>
    <t>Item</t>
  </si>
  <si>
    <t>TOTAL ESTIMATED PROJECT COST</t>
  </si>
  <si>
    <t>IES</t>
  </si>
  <si>
    <t>Centrica CSA</t>
  </si>
  <si>
    <t>Sum</t>
  </si>
  <si>
    <t>Project Approval</t>
  </si>
  <si>
    <t>Out to tender</t>
  </si>
  <si>
    <t>Tenders returned</t>
  </si>
  <si>
    <t>Order Placed</t>
  </si>
  <si>
    <t>Designs Completed</t>
  </si>
  <si>
    <t>Insurance</t>
  </si>
  <si>
    <t>Signature of Agreement</t>
  </si>
  <si>
    <t>Welfare Cabins Physically on site</t>
  </si>
  <si>
    <t>Cavity Wall Insulation</t>
  </si>
  <si>
    <t>Loft Insulation</t>
  </si>
  <si>
    <t>Heat Pumps</t>
  </si>
  <si>
    <t>Autoclaves</t>
  </si>
  <si>
    <t>Helga</t>
  </si>
  <si>
    <t>Completed on site</t>
  </si>
  <si>
    <t>Final commissioning</t>
  </si>
  <si>
    <t>Construction Costs - Centrica</t>
  </si>
  <si>
    <t>Inflation advice required assume % - FIXED COST</t>
  </si>
  <si>
    <t>Construction Costs - WVT - Shielding to Energy centre As Cost Plan</t>
  </si>
  <si>
    <t>Cost estimate for increasing works scope to add MRU &amp; SRU</t>
  </si>
  <si>
    <t>WVT Project Manager - 2 years</t>
  </si>
  <si>
    <r>
      <t xml:space="preserve">Finance VAT advisor only </t>
    </r>
    <r>
      <rPr>
        <strike/>
        <sz val="11"/>
        <color theme="1"/>
        <rFont val="Calibri"/>
        <family val="2"/>
        <scheme val="minor"/>
      </rPr>
      <t>District Val TBC</t>
    </r>
  </si>
  <si>
    <t>Internal financial support NIL</t>
  </si>
  <si>
    <t>Life Cycle Plan (included in CN's)</t>
  </si>
  <si>
    <t xml:space="preserve">Non Estates project support </t>
  </si>
  <si>
    <t xml:space="preserve">Decant/removals </t>
  </si>
  <si>
    <t>Miscellaneous Fees at 5% - Will be transferred to costed Risk Register</t>
  </si>
  <si>
    <t xml:space="preserve">Construction/Enabling costs - Sodexo/MHL  </t>
  </si>
  <si>
    <t>Number</t>
  </si>
  <si>
    <t>Detail</t>
  </si>
  <si>
    <t>ESH Cost</t>
  </si>
  <si>
    <t>IES Cost</t>
  </si>
  <si>
    <t>Acknowledgement and Agreement</t>
  </si>
  <si>
    <t>1. Acknowledgement and agreement to locate and install IES infrastructure and equipment within Mercia Healthcare Ltd liability areas and boundaries
2. This scheme seeks to reduce the Wye Valley NHS Trust carbon footprint, where associated infrastructure and equipment, including service(s) delivery will be treated as Trust Capped Estate and obligation, unless otherwise stipulated explicitly through CCNxxF.</t>
  </si>
  <si>
    <t>2784c</t>
  </si>
  <si>
    <t>Lender Notification and Fees</t>
  </si>
  <si>
    <t>As part of the construction of the IES Scheme Phase 2 PSDS3, and in accordance with the Deed of Indemnity, the Trust request the following from Mercia Healthcare Ltd:
1. Collate project detail, raising Lender notification and associated fees for Lender and Lender TA review and;
2. Mercia Healthcare Ltd to address any Lender requirements, queries, in order to satisfy Lender review and with regard to the project generally.</t>
  </si>
  <si>
    <t>2784d</t>
  </si>
  <si>
    <t>Legal and Professional Fees</t>
  </si>
  <si>
    <t>As part of the construction of the IES Scheme Phase 2 PSDS 3, and in accordance with the Deed of Indemnity, the Trust request the following from Mercia Healthcare Ltd:
1. Collate project detail, raising legal notification and associated fees for Legal and any Legal review and;
2. Legal and Professional fees associated with capturing changes to the project documents and associated management requirements.</t>
  </si>
  <si>
    <r>
      <t xml:space="preserve">2804d As part of the construction of the IES Scheme Phase 2 PSDS 3, and in accordance with the Deed of Indemnity, the Trust request the following from Mercia Healthcare Ltd:
1. Collate project detail, raising legal notification and associated fees for Legal and any Legal review and;
2. Legal and Professional fees associated with capturing changes to the project documents and associated management requirements.    </t>
    </r>
    <r>
      <rPr>
        <sz val="11"/>
        <color rgb="FFFF0000"/>
        <rFont val="Calibri"/>
        <family val="2"/>
        <scheme val="minor"/>
      </rPr>
      <t xml:space="preserve">SPC Commentary - This Variation Submission Return is a shared budget (£5,000) between FM &amp; Project Co., where all costs allocated will be demonstrated via fee proposals and associated invoices received by each respective party.
</t>
    </r>
    <r>
      <rPr>
        <sz val="11"/>
        <color theme="1"/>
        <rFont val="Calibri"/>
        <family val="2"/>
        <scheme val="minor"/>
      </rPr>
      <t xml:space="preserve">
</t>
    </r>
    <r>
      <rPr>
        <sz val="11"/>
        <color rgb="FFFF0000"/>
        <rFont val="Calibri"/>
        <family val="2"/>
        <scheme val="minor"/>
      </rPr>
      <t>FM &amp; Project Co. DEL costs will also be allocated, on our agreed schedule of rates (2023-2024) basis.</t>
    </r>
  </si>
  <si>
    <t>2784e</t>
  </si>
  <si>
    <t>Deed of Indemnity Acknowledgement (PA)</t>
  </si>
  <si>
    <t xml:space="preserve">1. The Trust request access to construct, pursuant to the IES Scheme Phase 2 PSDS 3 and in accordance with the terms within the ‘Deed of Indemnity'.
‘In accordance with Clause 21.4 of the PA, the purpose of this CCN is to ascertain and deal with any consequences upon the rights, obligations, risks, responsibilities and entitlements of the Company under the Total Contract and/or the Facilities and/or the Services of and prior to the undertaking and performance of the Outsourced Services that are to be undertaken and/or performed by the Trust and/or the Third Party Supplier as appropriate’.
2. The Trust recognises that preparation of a Deed of Indemnity is in hand and that this Deed of Indemnity will ascertain and deal with any consequences upon the rights, obligations, risks, responsibilities and entitlements of the Company under the Total Contract and/or the Facilities and/or the Services of and prior to the undertaking and performance of the Outsourced Services that are to be undertaken and/or performed by the Trust and/or the Third Party Supplier as appropriate but until this Deed of Indemnity is finalised and executed, Clause 21.5 shall apply’. </t>
  </si>
  <si>
    <t>2784f</t>
  </si>
  <si>
    <t>Deed of Indemnity Drafting, Review and Finalising</t>
  </si>
  <si>
    <t>As part of the construction, pursuant to the IES Scheme Phase 2 PSDS 3, and in accordance with the Deed of Indemnity acknowledgment (CCN 27xxC) the Trust request the following from Mercia Healthcare Ltd:
1. Collate known project (PA) and IES detail, then templating, drafting, reviewing and finalising the associated Deed of Indemnity.</t>
  </si>
  <si>
    <r>
      <t xml:space="preserve">2804b As part of the construction, pursuant to the IES Scheme Phase 2 PSDS 3, and in accordance with the Deed of Indemnity acknowledgment (CCN 2804C) the Trust request the following from Mercia Healthcare Ltd:
1. Collate known project (PA) and IES detail, then templating, drafting, reviewing and finalising the associated Deed of Indemnity.      </t>
    </r>
    <r>
      <rPr>
        <sz val="11"/>
        <color rgb="FFFF0000"/>
        <rFont val="Calibri"/>
        <family val="2"/>
        <scheme val="minor"/>
      </rPr>
      <t>SPC Commentary - This Variation Submission Return is a shared budget (£25,000) between FM &amp; Project Co., where all costs allocated will be demonstrated via fee proposals and associated invoices received by each respective party.</t>
    </r>
  </si>
  <si>
    <t>This CN now includes the surplus from 2804D see email RE: CCN WVT Approval 2804b - IES PSDS 3 Legal and Professional Fees (SPC Response)</t>
  </si>
  <si>
    <t>2784g</t>
  </si>
  <si>
    <t>Deed of Rectification Drafting, Review and Finalising</t>
  </si>
  <si>
    <t>As part of the construction, pursuant to the IES Scheme Phase 2 PSDS 3, and in accordance with the Deed of Indemnity (CCN 27xxD) the Trust request the following from Mercia Healthcare Ltd:
1. Collate known project (PA) and IES detail, then templating, drafting, reviewing, finalising and completing the associated Deed of Rectification.</t>
  </si>
  <si>
    <t xml:space="preserve">2804e </t>
  </si>
  <si>
    <t>2784h</t>
  </si>
  <si>
    <t>Deed of Variation Drafting, Review and Finalising</t>
  </si>
  <si>
    <t>As part of the construction of the IES Scheme Phase 2 PSDS 3, and in accordance with the Deed of Indemnity and Deed of Rectification, if so required (CCN 27xxD &amp; 27xxE), the Trust request the following from Mercia Healthcare Ltd:
1. Collate known project (PA) and IES detail, then templating, drafting, reviewing, finalising and completing the associated Deed of Variation.</t>
  </si>
  <si>
    <t>2804f Deed of variation drafting</t>
  </si>
  <si>
    <t>2784i</t>
  </si>
  <si>
    <t>Project and FM Co Technical Support and Attendance</t>
  </si>
  <si>
    <r>
      <t xml:space="preserve">The Trust require the support of Mercia Healthcare Ltd and Sodexo to develop the project including such services as commenting on the design, then with Sodexo </t>
    </r>
    <r>
      <rPr>
        <b/>
        <sz val="11"/>
        <color theme="1"/>
        <rFont val="Calibri"/>
        <family val="2"/>
        <scheme val="minor"/>
      </rPr>
      <t>only</t>
    </r>
    <r>
      <rPr>
        <sz val="11"/>
        <color theme="1"/>
        <rFont val="Calibri"/>
        <family val="2"/>
        <scheme val="minor"/>
      </rPr>
      <t>, carrying out/overseeing site surveys/investigations, inductions, checking RAMS and managing access to the site on behalf of the Trust. This is not exhaustive and will be instructed as required by the Trusts Project Manager or delegate in liaison with Mercia Healthcare Ltd and Sodexo as appropriate.
This is an open CCN to be charged by way of part completion certificates on an open book basis between the Sodexo lead and Trust Project Manager.
For clarity the above does not include management of the Trust main contractor or their subcontractors. The requirement is solely for support and interaction with pre-construction services/activity.</t>
    </r>
  </si>
  <si>
    <r>
      <t xml:space="preserve">2804 g The Trust require the support of Mercia Healthcare Ltd and Sodexo to develop the project including such services as commenting on the design, then with Sodexo only, carrying out/overseeing site surveys/investigations, inductions, checking RAMS and managing access to the site on behalf of the Trust. This is not exhaustive and will be instructed as required by the Trusts Project Manager or delegate in liaison with Mercia Healthcare Ltd and Sodexo as appropriate.
This is an open CCN to be charged by way of part completion certificates on an open book basis between the Sodexo lead and Trust Project Manager.
For clarity the above does not include management of the Trust main contractor or their subcontractors. The requirement is solely for support and interaction with pre-construction services/activity.      </t>
    </r>
    <r>
      <rPr>
        <sz val="11"/>
        <color rgb="FFFF0000"/>
        <rFont val="Calibri"/>
        <family val="2"/>
        <scheme val="minor"/>
      </rPr>
      <t xml:space="preserve">SPC Commentary - This Variation Submission Return is a shared budget (£50,000) between FM &amp; Project Co., where all costs allocated will be demonstrated via fee proposals and associated invoices received by each respective party. </t>
    </r>
  </si>
  <si>
    <t>2784j</t>
  </si>
  <si>
    <t>Project Co CDM_A Support and Attendance</t>
  </si>
  <si>
    <t>To support the Trust, as well as confirming adequacy to Trust provisions discharged via their consultants, sub-contractors and other organisations, Mercia Healthcare Ltd. require CDM-A provisions for the duration of the project, inclusive of, but not limited to;
Discharging of all Client responsibilities from MHL-WVT
Review of all Pre-Construction information
Review of all Health &amp; Safety information
Periodic site visits, site project review and associated report collation
Review of Trust discharged responsibilities to PD &amp; PC throughout</t>
  </si>
  <si>
    <t>2784k</t>
  </si>
  <si>
    <t>Project Co Project Management and Representation</t>
  </si>
  <si>
    <t>To support the Trust adequately, for the duration of the project, Mercia Healthcare Ltd require additional support to enact Project Co. representation, for the duration of the ESH Project, where required and inclusive, but not limited to;
Review Trust contractor design, construction, services and progress reports
Attend and chair Variation Quality Review (VQC) Committee Meetings (Semperian Internal)
Attend, where in leiu of the SPC and/or ASPC Manager, ESH Project Meetings
Assisting with any DoI, DoR and DoV collation of information, where in leiu of the SPC Manager
Generally, at the discretion of both the Trust and Project Co. but where only agreed by both parties</t>
  </si>
  <si>
    <t>2784l</t>
  </si>
  <si>
    <t>Project Co Construction Insurances</t>
  </si>
  <si>
    <r>
      <t xml:space="preserve">To support the Trust adequately, for the duration of the project, where construction and H&amp;S Risk is concerned. Mercia Healthcare Ltd are required to advise, raise and seek insurance premium costs for the project programme, until such a time practical completion has been arrived.
Full site project insurances will </t>
    </r>
    <r>
      <rPr>
        <b/>
        <sz val="11"/>
        <color theme="1"/>
        <rFont val="Calibri"/>
        <family val="2"/>
        <scheme val="minor"/>
      </rPr>
      <t>not included</t>
    </r>
    <r>
      <rPr>
        <sz val="11"/>
        <color theme="1"/>
        <rFont val="Calibri"/>
        <family val="2"/>
        <scheme val="minor"/>
      </rPr>
      <t xml:space="preserve">, where update to existing annual insurance reinstatement will </t>
    </r>
    <r>
      <rPr>
        <b/>
        <sz val="11"/>
        <color theme="1"/>
        <rFont val="Calibri"/>
        <family val="2"/>
        <scheme val="minor"/>
      </rPr>
      <t xml:space="preserve">not </t>
    </r>
    <r>
      <rPr>
        <sz val="11"/>
        <color theme="1"/>
        <rFont val="Calibri"/>
        <family val="2"/>
        <scheme val="minor"/>
      </rPr>
      <t>be covered under this CCN request</t>
    </r>
  </si>
  <si>
    <t>2784m</t>
  </si>
  <si>
    <t>Mercia Healthcare Ltd General and Infrastructure Services Support</t>
  </si>
  <si>
    <t>The Trust require the support of Mercia Healthcare Ltd for all required internal and external costs associated with general, infrastructure and direct service connections support to the IES Scheme Phase 2 PSDS 3.</t>
  </si>
  <si>
    <t>2804k</t>
  </si>
  <si>
    <t>Structural &amp; Civil Eng. Design Centrica</t>
  </si>
  <si>
    <t>MEP Design Centrica</t>
  </si>
  <si>
    <t>Cost Consultant Centrica</t>
  </si>
  <si>
    <t>Fire Engineer Centrica</t>
  </si>
  <si>
    <t>Acoustic Eng. Centrica</t>
  </si>
  <si>
    <t>Pre Demolition Audit NIL</t>
  </si>
  <si>
    <t>NEC Project Manager and Supervisor N/A</t>
  </si>
  <si>
    <t>Design Costs - Centrica</t>
  </si>
  <si>
    <t>Project support from Sodexo CN</t>
  </si>
  <si>
    <t>BREEAM Assessor N/A</t>
  </si>
  <si>
    <t>Salix Grant</t>
  </si>
  <si>
    <t>Project Support - not included</t>
  </si>
  <si>
    <t>Unallocated</t>
  </si>
  <si>
    <t>Trust Lawyers - Estimate</t>
  </si>
  <si>
    <t>Engineering Support for estates check and challenge - budget</t>
  </si>
  <si>
    <t>Mercia  &amp; Sodexo PFI CN's.</t>
  </si>
  <si>
    <t>Contingency</t>
  </si>
  <si>
    <t>see summary page</t>
  </si>
  <si>
    <t xml:space="preserve">Lifecycle (From Trust) </t>
  </si>
  <si>
    <t>Budget</t>
  </si>
  <si>
    <t>Actual to MTh 10 + Forecast 24/25</t>
  </si>
  <si>
    <t>Transport Consultant NIL</t>
  </si>
  <si>
    <t xml:space="preserve">Total Equipment  </t>
  </si>
  <si>
    <t>INTEGRATED ENERGY SOLUTIONS</t>
  </si>
  <si>
    <t>Projected Contingency</t>
  </si>
  <si>
    <t>Difference.</t>
  </si>
  <si>
    <t xml:space="preserve">VAT </t>
  </si>
  <si>
    <t>Resilience Options costs.</t>
  </si>
  <si>
    <t>The table below seeks to identify the resilience options costs.</t>
  </si>
  <si>
    <t>Caital investment.</t>
  </si>
  <si>
    <t>Per annum</t>
  </si>
  <si>
    <t>10 year period</t>
  </si>
  <si>
    <t>Total</t>
  </si>
  <si>
    <t>Option 1</t>
  </si>
  <si>
    <t>Option 2</t>
  </si>
  <si>
    <t>Option 3</t>
  </si>
  <si>
    <t>Option 4</t>
  </si>
  <si>
    <t xml:space="preserve">Note: </t>
  </si>
  <si>
    <t>Option 3's technology enables the future works costs for increasing the PSDS scope to include the MRU and SRU to reduce from 230K to 50K.</t>
  </si>
  <si>
    <t>Per annum = On-going yearly cost/saving outside of CBS yeraly maintenance charges.</t>
  </si>
  <si>
    <t>IES Heating resilience options</t>
  </si>
  <si>
    <t>Option 1 - New Electrode Back up Generators.</t>
  </si>
  <si>
    <t>Option 2 - Retain the existing Gas steam boilers</t>
  </si>
  <si>
    <t>This option is to install new standby electric generators which would supply the Energy Centre with electricity in the event of a loss of power to site.</t>
  </si>
  <si>
    <t>Requirement to run steam boilers in hot standby</t>
  </si>
  <si>
    <t>Budget cost at 5m and very large space to site equipment, this option discounted.</t>
  </si>
  <si>
    <r>
      <t xml:space="preserve">Budget cost </t>
    </r>
    <r>
      <rPr>
        <b/>
        <sz val="11"/>
        <color theme="1"/>
        <rFont val="Calibri"/>
        <family val="2"/>
        <scheme val="minor"/>
      </rPr>
      <t>per annum</t>
    </r>
  </si>
  <si>
    <t>Centrica costs</t>
  </si>
  <si>
    <t>LCC contribution</t>
  </si>
  <si>
    <t>Option 3 - DNO Dual supplies</t>
  </si>
  <si>
    <t>Option 4 - Steam Boiler Plant replacement</t>
  </si>
  <si>
    <t>NGED Non - contestable works</t>
  </si>
  <si>
    <t>Centrica cost</t>
  </si>
  <si>
    <t>Contestable works - civils &amp; cable install</t>
  </si>
  <si>
    <t>ESM - MP03761 Rev 2</t>
  </si>
  <si>
    <t>EAST - Q9063 - Rev 1</t>
  </si>
  <si>
    <t>Sum of NGED and ESM charges</t>
  </si>
  <si>
    <t>CBS Provision</t>
  </si>
  <si>
    <t>Savings from LCC/Maintenance/Standing charges/- pa</t>
  </si>
  <si>
    <t>Funds made available from single DNO (this option) being under budget - see table below.</t>
  </si>
  <si>
    <t>Supply from one S/S assisting with contributing funds to option 4</t>
  </si>
  <si>
    <r>
      <t xml:space="preserve">ESM - </t>
    </r>
    <r>
      <rPr>
        <sz val="11"/>
        <color rgb="FFFF0000"/>
        <rFont val="Calibri"/>
        <family val="2"/>
        <scheme val="minor"/>
      </rPr>
      <t>budget</t>
    </r>
  </si>
  <si>
    <r>
      <t xml:space="preserve">EAST - </t>
    </r>
    <r>
      <rPr>
        <sz val="11"/>
        <color rgb="FFFF0000"/>
        <rFont val="Calibri"/>
        <family val="2"/>
        <scheme val="minor"/>
      </rPr>
      <t>budget</t>
    </r>
  </si>
  <si>
    <t>Project Resilience</t>
  </si>
  <si>
    <t>Resilience fund.</t>
  </si>
  <si>
    <t>Resilience capital cost</t>
  </si>
  <si>
    <t>VAT Recovery estimate</t>
  </si>
  <si>
    <t xml:space="preserve">Contingency </t>
  </si>
  <si>
    <t>BUDGET 27112023</t>
  </si>
  <si>
    <t>Appendix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</si>
</sst>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Red]\-&quot;£&quot;#,##0.00"/>
    <numFmt numFmtId="44" formatCode="_-&quot;£&quot;* #,##0.00_-;\-&quot;£&quot;* #,##0.00_-;_-&quot;£&quot;* &quot;-&quot;??_-;_-@_-"/>
    <numFmt numFmtId="43" formatCode="_-* #,##0.00_-;\-* #,##0.00_-;_-* &quot;-&quot;??_-;_-@_-"/>
    <numFmt numFmtId="164" formatCode="_-* #,##0_-;\-* #,##0_-;_-* &quot;-&quot;??_-;_-@_-"/>
    <numFmt numFmtId="165" formatCode="#,##0;\(#,##0\)"/>
    <numFmt numFmtId="166" formatCode="&quot;£&quot;#,##0"/>
    <numFmt numFmtId="167" formatCode="&quot;£&quot;#,##0.00"/>
  </numFmts>
  <fonts count="28" x14ac:knownFonts="1">
    <font>
      <sz val="11"/>
      <color theme="1"/>
      <name val="Calibri"/>
      <family val="2"/>
      <scheme val="minor"/>
    </font>
    <font>
      <sz val="11"/>
      <color theme="1"/>
      <name val="Calibri"/>
      <family val="2"/>
      <scheme val="minor"/>
    </font>
    <font>
      <b/>
      <sz val="11"/>
      <color rgb="FFFF0000"/>
      <name val="Calibri"/>
      <family val="2"/>
      <scheme val="minor"/>
    </font>
    <font>
      <sz val="11"/>
      <color indexed="8"/>
      <name val="Calibri"/>
      <family val="2"/>
      <scheme val="minor"/>
    </font>
    <font>
      <sz val="9"/>
      <color indexed="81"/>
      <name val="Tahoma"/>
      <family val="2"/>
    </font>
    <font>
      <b/>
      <sz val="9"/>
      <color indexed="81"/>
      <name val="Tahoma"/>
      <family val="2"/>
    </font>
    <font>
      <sz val="11"/>
      <color rgb="FFFF0000"/>
      <name val="Calibri"/>
      <family val="2"/>
      <scheme val="minor"/>
    </font>
    <font>
      <sz val="11"/>
      <name val="Calibri"/>
      <family val="2"/>
      <scheme val="minor"/>
    </font>
    <font>
      <b/>
      <sz val="11"/>
      <name val="Calibri"/>
      <family val="2"/>
      <scheme val="minor"/>
    </font>
    <font>
      <i/>
      <sz val="11"/>
      <color rgb="FFFF0000"/>
      <name val="Calibri"/>
      <family val="2"/>
      <scheme val="minor"/>
    </font>
    <font>
      <b/>
      <sz val="9"/>
      <color rgb="FFFF0000"/>
      <name val="Arial"/>
      <family val="2"/>
    </font>
    <font>
      <b/>
      <u/>
      <sz val="11"/>
      <color rgb="FFFF0000"/>
      <name val="Calibri"/>
      <family val="2"/>
      <scheme val="minor"/>
    </font>
    <font>
      <i/>
      <sz val="11"/>
      <name val="Calibri"/>
      <family val="2"/>
      <scheme val="minor"/>
    </font>
    <font>
      <b/>
      <sz val="9"/>
      <color theme="0"/>
      <name val="Arial"/>
      <family val="2"/>
    </font>
    <font>
      <b/>
      <sz val="11"/>
      <color theme="1"/>
      <name val="Calibri"/>
      <family val="2"/>
      <scheme val="minor"/>
    </font>
    <font>
      <sz val="10"/>
      <color theme="1"/>
      <name val="Arial"/>
      <family val="2"/>
    </font>
    <font>
      <sz val="11"/>
      <color theme="5" tint="-0.249977111117893"/>
      <name val="Calibri"/>
      <family val="2"/>
      <scheme val="minor"/>
    </font>
    <font>
      <sz val="10"/>
      <name val="Arial"/>
      <family val="2"/>
    </font>
    <font>
      <sz val="10"/>
      <color theme="1"/>
      <name val="Calibri"/>
      <family val="2"/>
      <scheme val="minor"/>
    </font>
    <font>
      <sz val="11"/>
      <name val="Arial"/>
      <family val="2"/>
    </font>
    <font>
      <b/>
      <sz val="20"/>
      <name val="Calibri"/>
      <family val="2"/>
      <scheme val="minor"/>
    </font>
    <font>
      <b/>
      <sz val="22"/>
      <name val="Calibri"/>
      <family val="2"/>
      <scheme val="minor"/>
    </font>
    <font>
      <strike/>
      <sz val="11"/>
      <color theme="1"/>
      <name val="Calibri"/>
      <family val="2"/>
      <scheme val="minor"/>
    </font>
    <font>
      <strike/>
      <sz val="11"/>
      <name val="Calibri"/>
      <family val="2"/>
      <scheme val="minor"/>
    </font>
    <font>
      <sz val="12"/>
      <color rgb="FF181918"/>
      <name val="Calibri"/>
      <family val="2"/>
    </font>
    <font>
      <b/>
      <sz val="9"/>
      <color indexed="81"/>
      <name val="Tahoma"/>
      <charset val="1"/>
    </font>
    <font>
      <sz val="9"/>
      <color indexed="81"/>
      <name val="Tahoma"/>
      <charset val="1"/>
    </font>
    <font>
      <b/>
      <sz val="14"/>
      <name val="Calibri"/>
      <family val="2"/>
      <scheme val="minor"/>
    </font>
  </fonts>
  <fills count="14">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rgb="FF00B0F0"/>
        <bgColor indexed="64"/>
      </patternFill>
    </fill>
    <fill>
      <patternFill patternType="solid">
        <fgColor theme="6" tint="0.79998168889431442"/>
        <bgColor indexed="64"/>
      </patternFill>
    </fill>
    <fill>
      <patternFill patternType="solid">
        <fgColor rgb="FFEBF1DF"/>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A9C27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ck">
        <color auto="1"/>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bottom style="thin">
        <color indexed="64"/>
      </bottom>
      <diagonal/>
    </border>
    <border>
      <left style="thick">
        <color auto="1"/>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style="double">
        <color indexed="64"/>
      </left>
      <right/>
      <top/>
      <bottom/>
      <diagonal/>
    </border>
    <border>
      <left/>
      <right style="double">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8">
    <xf numFmtId="0" fontId="0" fillId="0" borderId="0"/>
    <xf numFmtId="43" fontId="1" fillId="0" borderId="0" applyFont="0" applyFill="0" applyBorder="0" applyAlignment="0" applyProtection="0"/>
    <xf numFmtId="0" fontId="1" fillId="0" borderId="0"/>
    <xf numFmtId="0" fontId="3" fillId="0" borderId="0"/>
    <xf numFmtId="0" fontId="15" fillId="0" borderId="0"/>
    <xf numFmtId="44" fontId="17" fillId="0" borderId="0" applyFont="0" applyFill="0" applyBorder="0" applyAlignment="0" applyProtection="0"/>
    <xf numFmtId="0" fontId="19" fillId="0" borderId="0"/>
    <xf numFmtId="0" fontId="1" fillId="0" borderId="0"/>
  </cellStyleXfs>
  <cellXfs count="383">
    <xf numFmtId="0" fontId="0" fillId="0" borderId="0" xfId="0"/>
    <xf numFmtId="0" fontId="2" fillId="0" borderId="0" xfId="0" applyFont="1"/>
    <xf numFmtId="165" fontId="6" fillId="0" borderId="1" xfId="0" applyNumberFormat="1" applyFont="1" applyFill="1" applyBorder="1"/>
    <xf numFmtId="165" fontId="6" fillId="0" borderId="0" xfId="0" applyNumberFormat="1" applyFont="1" applyFill="1" applyBorder="1"/>
    <xf numFmtId="165" fontId="6" fillId="0" borderId="0" xfId="0" applyNumberFormat="1" applyFont="1"/>
    <xf numFmtId="165" fontId="7" fillId="0" borderId="1" xfId="0" applyNumberFormat="1" applyFont="1" applyFill="1" applyBorder="1"/>
    <xf numFmtId="165" fontId="7" fillId="0" borderId="1" xfId="0" applyNumberFormat="1" applyFont="1" applyBorder="1"/>
    <xf numFmtId="165" fontId="7" fillId="0" borderId="0" xfId="0" applyNumberFormat="1" applyFont="1"/>
    <xf numFmtId="164" fontId="2" fillId="0" borderId="0" xfId="1" applyNumberFormat="1" applyFont="1"/>
    <xf numFmtId="0" fontId="6" fillId="0" borderId="0" xfId="0" applyFont="1"/>
    <xf numFmtId="0" fontId="9" fillId="0" borderId="0" xfId="0" applyFont="1"/>
    <xf numFmtId="0" fontId="6" fillId="0" borderId="0" xfId="0" applyFont="1" applyFill="1"/>
    <xf numFmtId="0" fontId="2" fillId="0" borderId="0" xfId="0" applyFont="1" applyFill="1" applyBorder="1" applyAlignment="1">
      <alignment horizontal="center" vertical="center" wrapText="1"/>
    </xf>
    <xf numFmtId="17" fontId="10" fillId="0" borderId="0" xfId="2" applyNumberFormat="1" applyFont="1" applyFill="1" applyBorder="1" applyAlignment="1">
      <alignment horizontal="center" vertical="center" wrapText="1"/>
    </xf>
    <xf numFmtId="164" fontId="2" fillId="0" borderId="6" xfId="1" applyNumberFormat="1" applyFont="1" applyBorder="1"/>
    <xf numFmtId="0" fontId="6" fillId="5" borderId="0" xfId="0" applyFont="1" applyFill="1" applyBorder="1"/>
    <xf numFmtId="0" fontId="6" fillId="0" borderId="0" xfId="0" applyFont="1" applyBorder="1"/>
    <xf numFmtId="0" fontId="2" fillId="0" borderId="9" xfId="0" applyFont="1" applyBorder="1"/>
    <xf numFmtId="0" fontId="2" fillId="5" borderId="9" xfId="0" applyFont="1" applyFill="1" applyBorder="1"/>
    <xf numFmtId="165" fontId="6" fillId="5" borderId="1" xfId="0" applyNumberFormat="1" applyFont="1" applyFill="1" applyBorder="1"/>
    <xf numFmtId="165" fontId="2" fillId="0" borderId="0" xfId="0" applyNumberFormat="1" applyFont="1" applyFill="1" applyBorder="1"/>
    <xf numFmtId="164" fontId="6" fillId="0" borderId="0" xfId="1" applyNumberFormat="1" applyFont="1"/>
    <xf numFmtId="165" fontId="6" fillId="0" borderId="0" xfId="0" applyNumberFormat="1" applyFont="1" applyFill="1"/>
    <xf numFmtId="165" fontId="6" fillId="5" borderId="0" xfId="0" applyNumberFormat="1" applyFont="1" applyFill="1" applyBorder="1"/>
    <xf numFmtId="165" fontId="2" fillId="0" borderId="9" xfId="0" applyNumberFormat="1" applyFont="1" applyBorder="1"/>
    <xf numFmtId="165" fontId="2" fillId="5" borderId="9" xfId="0" applyNumberFormat="1" applyFont="1" applyFill="1" applyBorder="1"/>
    <xf numFmtId="0" fontId="8" fillId="0" borderId="0" xfId="0" applyFont="1"/>
    <xf numFmtId="0" fontId="7" fillId="0" borderId="0" xfId="0" applyFont="1"/>
    <xf numFmtId="164" fontId="8" fillId="0" borderId="1" xfId="1" applyNumberFormat="1" applyFont="1" applyBorder="1"/>
    <xf numFmtId="164" fontId="7" fillId="0" borderId="1" xfId="1" applyNumberFormat="1" applyFont="1" applyBorder="1"/>
    <xf numFmtId="164" fontId="7" fillId="0" borderId="5" xfId="1" applyNumberFormat="1" applyFont="1" applyFill="1" applyBorder="1"/>
    <xf numFmtId="164" fontId="7" fillId="0" borderId="1" xfId="1" applyNumberFormat="1" applyFont="1" applyFill="1" applyBorder="1"/>
    <xf numFmtId="164" fontId="8" fillId="0" borderId="6" xfId="1" applyNumberFormat="1" applyFont="1" applyBorder="1"/>
    <xf numFmtId="164" fontId="8" fillId="0" borderId="0" xfId="1" applyNumberFormat="1" applyFont="1"/>
    <xf numFmtId="164" fontId="7" fillId="0" borderId="5" xfId="1" applyNumberFormat="1" applyFont="1" applyBorder="1"/>
    <xf numFmtId="0" fontId="7" fillId="0" borderId="11" xfId="0" applyFont="1" applyBorder="1"/>
    <xf numFmtId="0" fontId="7" fillId="0" borderId="0" xfId="0" applyFont="1" applyFill="1"/>
    <xf numFmtId="164" fontId="7" fillId="0" borderId="11" xfId="1" applyNumberFormat="1" applyFont="1" applyFill="1" applyBorder="1"/>
    <xf numFmtId="0" fontId="7" fillId="0" borderId="1" xfId="0" applyFont="1" applyBorder="1"/>
    <xf numFmtId="165" fontId="7" fillId="0" borderId="7" xfId="0" applyNumberFormat="1" applyFont="1" applyBorder="1"/>
    <xf numFmtId="165" fontId="7" fillId="0" borderId="2" xfId="0" applyNumberFormat="1" applyFont="1" applyBorder="1"/>
    <xf numFmtId="165" fontId="7" fillId="0" borderId="0" xfId="0" applyNumberFormat="1" applyFont="1" applyFill="1"/>
    <xf numFmtId="165" fontId="7" fillId="0" borderId="1" xfId="1" applyNumberFormat="1" applyFont="1" applyBorder="1"/>
    <xf numFmtId="0" fontId="6" fillId="0" borderId="0" xfId="0" applyFont="1" applyFill="1" applyBorder="1"/>
    <xf numFmtId="0" fontId="7" fillId="0" borderId="0" xfId="0" applyFont="1" applyBorder="1"/>
    <xf numFmtId="165" fontId="7" fillId="0" borderId="0" xfId="0" applyNumberFormat="1" applyFont="1" applyBorder="1"/>
    <xf numFmtId="165" fontId="8" fillId="0" borderId="1" xfId="0" applyNumberFormat="1" applyFont="1" applyBorder="1"/>
    <xf numFmtId="165" fontId="8" fillId="0" borderId="1" xfId="0" applyNumberFormat="1" applyFont="1" applyFill="1" applyBorder="1"/>
    <xf numFmtId="165" fontId="8" fillId="0" borderId="7" xfId="0" applyNumberFormat="1" applyFont="1" applyBorder="1"/>
    <xf numFmtId="165" fontId="8" fillId="0" borderId="1" xfId="1" applyNumberFormat="1" applyFont="1" applyBorder="1"/>
    <xf numFmtId="165" fontId="8" fillId="0" borderId="10" xfId="0" applyNumberFormat="1" applyFont="1" applyBorder="1"/>
    <xf numFmtId="165" fontId="8" fillId="0" borderId="9" xfId="0" applyNumberFormat="1" applyFont="1" applyBorder="1"/>
    <xf numFmtId="0" fontId="7" fillId="0" borderId="0" xfId="0" applyFont="1" applyFill="1" applyBorder="1"/>
    <xf numFmtId="165" fontId="6" fillId="0" borderId="15" xfId="0" applyNumberFormat="1" applyFont="1" applyFill="1" applyBorder="1"/>
    <xf numFmtId="165" fontId="6" fillId="0" borderId="16" xfId="0" applyNumberFormat="1" applyFont="1" applyFill="1" applyBorder="1"/>
    <xf numFmtId="165" fontId="6" fillId="6" borderId="0" xfId="0" applyNumberFormat="1" applyFont="1" applyFill="1" applyBorder="1"/>
    <xf numFmtId="0" fontId="6" fillId="6" borderId="0" xfId="0" applyFont="1" applyFill="1" applyBorder="1"/>
    <xf numFmtId="0" fontId="6" fillId="6" borderId="19" xfId="0" applyFont="1" applyFill="1" applyBorder="1"/>
    <xf numFmtId="165" fontId="6" fillId="6" borderId="1" xfId="0" applyNumberFormat="1" applyFont="1" applyFill="1" applyBorder="1"/>
    <xf numFmtId="165" fontId="6" fillId="6" borderId="22" xfId="0" applyNumberFormat="1" applyFont="1" applyFill="1" applyBorder="1"/>
    <xf numFmtId="165" fontId="6" fillId="6" borderId="19" xfId="0" applyNumberFormat="1" applyFont="1" applyFill="1" applyBorder="1"/>
    <xf numFmtId="165" fontId="7" fillId="0" borderId="15" xfId="0" applyNumberFormat="1" applyFont="1" applyFill="1" applyBorder="1"/>
    <xf numFmtId="165" fontId="7" fillId="5" borderId="1" xfId="0" applyNumberFormat="1" applyFont="1" applyFill="1" applyBorder="1"/>
    <xf numFmtId="165" fontId="7" fillId="6" borderId="1" xfId="0" applyNumberFormat="1" applyFont="1" applyFill="1" applyBorder="1"/>
    <xf numFmtId="165" fontId="7" fillId="6" borderId="22" xfId="0" applyNumberFormat="1" applyFont="1" applyFill="1" applyBorder="1"/>
    <xf numFmtId="165" fontId="8" fillId="0" borderId="15" xfId="0" applyNumberFormat="1" applyFont="1" applyFill="1" applyBorder="1"/>
    <xf numFmtId="165" fontId="8" fillId="5" borderId="1" xfId="0" applyNumberFormat="1" applyFont="1" applyFill="1" applyBorder="1"/>
    <xf numFmtId="165" fontId="8" fillId="6" borderId="1" xfId="0" applyNumberFormat="1" applyFont="1" applyFill="1" applyBorder="1"/>
    <xf numFmtId="165" fontId="8" fillId="6" borderId="22" xfId="0" applyNumberFormat="1" applyFont="1" applyFill="1" applyBorder="1"/>
    <xf numFmtId="165" fontId="7" fillId="0" borderId="10" xfId="0" applyNumberFormat="1" applyFont="1" applyBorder="1"/>
    <xf numFmtId="17" fontId="13" fillId="2" borderId="3" xfId="2" applyNumberFormat="1" applyFont="1" applyFill="1" applyBorder="1" applyAlignment="1">
      <alignment horizontal="center" vertical="center" wrapText="1"/>
    </xf>
    <xf numFmtId="17" fontId="13" fillId="2" borderId="4" xfId="2" applyNumberFormat="1" applyFont="1" applyFill="1" applyBorder="1" applyAlignment="1">
      <alignment horizontal="center" vertical="center" wrapText="1"/>
    </xf>
    <xf numFmtId="17" fontId="13" fillId="2" borderId="21" xfId="2" applyNumberFormat="1" applyFont="1" applyFill="1" applyBorder="1" applyAlignment="1">
      <alignment horizontal="center" vertical="center" wrapText="1"/>
    </xf>
    <xf numFmtId="0" fontId="2" fillId="6" borderId="9" xfId="0" applyFont="1" applyFill="1" applyBorder="1"/>
    <xf numFmtId="165" fontId="8" fillId="6" borderId="10" xfId="0" applyNumberFormat="1" applyFont="1" applyFill="1" applyBorder="1"/>
    <xf numFmtId="165" fontId="2" fillId="6" borderId="9" xfId="0" applyNumberFormat="1" applyFont="1" applyFill="1" applyBorder="1"/>
    <xf numFmtId="165" fontId="7" fillId="5" borderId="10" xfId="0" applyNumberFormat="1" applyFont="1" applyFill="1" applyBorder="1"/>
    <xf numFmtId="165" fontId="7" fillId="6" borderId="10" xfId="0" applyNumberFormat="1" applyFont="1" applyFill="1" applyBorder="1"/>
    <xf numFmtId="3" fontId="7" fillId="6" borderId="10" xfId="0" applyNumberFormat="1" applyFont="1" applyFill="1" applyBorder="1"/>
    <xf numFmtId="165" fontId="7" fillId="5" borderId="25" xfId="0" applyNumberFormat="1" applyFont="1" applyFill="1" applyBorder="1"/>
    <xf numFmtId="165" fontId="7" fillId="6" borderId="25" xfId="0" applyNumberFormat="1" applyFont="1" applyFill="1" applyBorder="1"/>
    <xf numFmtId="3" fontId="7" fillId="6" borderId="25" xfId="0" applyNumberFormat="1" applyFont="1" applyFill="1" applyBorder="1"/>
    <xf numFmtId="165" fontId="8" fillId="5" borderId="24" xfId="0" applyNumberFormat="1" applyFont="1" applyFill="1" applyBorder="1"/>
    <xf numFmtId="165" fontId="8" fillId="6" borderId="24" xfId="0" applyNumberFormat="1" applyFont="1" applyFill="1" applyBorder="1"/>
    <xf numFmtId="3" fontId="7" fillId="6" borderId="22" xfId="0" applyNumberFormat="1" applyFont="1" applyFill="1" applyBorder="1"/>
    <xf numFmtId="3" fontId="7" fillId="0" borderId="10" xfId="0" applyNumberFormat="1" applyFont="1" applyBorder="1"/>
    <xf numFmtId="3" fontId="7" fillId="5" borderId="1" xfId="0" applyNumberFormat="1" applyFont="1" applyFill="1" applyBorder="1"/>
    <xf numFmtId="3" fontId="7" fillId="6" borderId="1" xfId="0" applyNumberFormat="1" applyFont="1" applyFill="1" applyBorder="1"/>
    <xf numFmtId="165" fontId="8" fillId="0" borderId="0" xfId="0" applyNumberFormat="1" applyFont="1" applyFill="1" applyBorder="1"/>
    <xf numFmtId="0" fontId="11" fillId="0" borderId="0" xfId="0" applyFont="1" applyFill="1" applyBorder="1" applyAlignment="1"/>
    <xf numFmtId="0" fontId="0" fillId="0" borderId="0" xfId="0" applyBorder="1"/>
    <xf numFmtId="164" fontId="8" fillId="3" borderId="1" xfId="1" applyNumberFormat="1" applyFont="1" applyFill="1" applyBorder="1" applyAlignment="1">
      <alignment horizontal="center" vertical="center" wrapText="1"/>
    </xf>
    <xf numFmtId="0" fontId="8" fillId="3" borderId="5" xfId="0" quotePrefix="1" applyFont="1" applyFill="1" applyBorder="1" applyAlignment="1">
      <alignment horizontal="center" vertical="center"/>
    </xf>
    <xf numFmtId="0" fontId="8" fillId="3" borderId="1" xfId="0" quotePrefix="1" applyFont="1" applyFill="1" applyBorder="1" applyAlignment="1">
      <alignment horizontal="center" vertical="center"/>
    </xf>
    <xf numFmtId="164" fontId="8" fillId="0" borderId="26" xfId="1" applyNumberFormat="1" applyFont="1" applyBorder="1"/>
    <xf numFmtId="164" fontId="2" fillId="0" borderId="14" xfId="1" applyNumberFormat="1" applyFont="1" applyBorder="1"/>
    <xf numFmtId="164" fontId="7" fillId="0" borderId="3" xfId="1" applyNumberFormat="1" applyFont="1" applyBorder="1"/>
    <xf numFmtId="164" fontId="7" fillId="0" borderId="3" xfId="1" applyNumberFormat="1" applyFont="1" applyFill="1" applyBorder="1"/>
    <xf numFmtId="164" fontId="2" fillId="0" borderId="27" xfId="1" applyNumberFormat="1" applyFont="1" applyBorder="1"/>
    <xf numFmtId="164" fontId="7" fillId="0" borderId="20" xfId="1" applyNumberFormat="1" applyFont="1" applyFill="1" applyBorder="1"/>
    <xf numFmtId="164" fontId="12" fillId="0" borderId="28" xfId="1" applyNumberFormat="1" applyFont="1" applyFill="1" applyBorder="1"/>
    <xf numFmtId="164" fontId="12" fillId="0" borderId="29" xfId="1" applyNumberFormat="1" applyFont="1" applyFill="1" applyBorder="1"/>
    <xf numFmtId="164" fontId="7" fillId="0" borderId="6" xfId="1" applyNumberFormat="1" applyFont="1" applyFill="1" applyBorder="1"/>
    <xf numFmtId="164" fontId="8" fillId="0" borderId="7" xfId="1" applyNumberFormat="1" applyFont="1" applyBorder="1"/>
    <xf numFmtId="164" fontId="7" fillId="0" borderId="12" xfId="1" applyNumberFormat="1" applyFont="1" applyFill="1" applyBorder="1"/>
    <xf numFmtId="164" fontId="7" fillId="0" borderId="28" xfId="1" applyNumberFormat="1" applyFont="1" applyBorder="1"/>
    <xf numFmtId="164" fontId="7" fillId="0" borderId="29" xfId="1" applyNumberFormat="1" applyFont="1" applyBorder="1"/>
    <xf numFmtId="164" fontId="7" fillId="0" borderId="23" xfId="1" applyNumberFormat="1" applyFont="1" applyBorder="1"/>
    <xf numFmtId="164" fontId="7" fillId="0" borderId="20" xfId="1" applyNumberFormat="1" applyFont="1" applyBorder="1"/>
    <xf numFmtId="0" fontId="6" fillId="0" borderId="1" xfId="0" applyFont="1" applyBorder="1"/>
    <xf numFmtId="164" fontId="7" fillId="0" borderId="6" xfId="1" applyNumberFormat="1" applyFont="1" applyBorder="1"/>
    <xf numFmtId="164" fontId="7" fillId="0" borderId="12" xfId="1" applyNumberFormat="1" applyFont="1" applyBorder="1"/>
    <xf numFmtId="3" fontId="7" fillId="0" borderId="7" xfId="0" applyNumberFormat="1" applyFont="1" applyBorder="1"/>
    <xf numFmtId="0" fontId="6" fillId="0" borderId="2" xfId="0" applyFont="1" applyBorder="1"/>
    <xf numFmtId="0" fontId="6" fillId="0" borderId="11" xfId="0" applyFont="1" applyBorder="1"/>
    <xf numFmtId="165" fontId="7" fillId="0" borderId="27" xfId="0" applyNumberFormat="1" applyFont="1" applyBorder="1"/>
    <xf numFmtId="165" fontId="7" fillId="0" borderId="28" xfId="0" applyNumberFormat="1" applyFont="1" applyBorder="1"/>
    <xf numFmtId="165" fontId="7" fillId="0" borderId="28" xfId="0" applyNumberFormat="1" applyFont="1" applyFill="1" applyBorder="1"/>
    <xf numFmtId="165" fontId="7" fillId="0" borderId="29" xfId="0" applyNumberFormat="1" applyFont="1" applyBorder="1"/>
    <xf numFmtId="165" fontId="7" fillId="0" borderId="14" xfId="0" applyNumberFormat="1" applyFont="1" applyBorder="1"/>
    <xf numFmtId="17" fontId="13" fillId="2" borderId="14" xfId="2" applyNumberFormat="1" applyFont="1" applyFill="1" applyBorder="1" applyAlignment="1">
      <alignment horizontal="center" vertical="center" wrapText="1"/>
    </xf>
    <xf numFmtId="165" fontId="8" fillId="5" borderId="10" xfId="0" applyNumberFormat="1" applyFont="1" applyFill="1" applyBorder="1"/>
    <xf numFmtId="164" fontId="7" fillId="0" borderId="26" xfId="1" applyNumberFormat="1" applyFont="1" applyBorder="1"/>
    <xf numFmtId="164" fontId="7" fillId="0" borderId="26" xfId="1" applyNumberFormat="1" applyFont="1" applyFill="1" applyBorder="1"/>
    <xf numFmtId="0" fontId="0" fillId="0" borderId="1" xfId="0" applyBorder="1"/>
    <xf numFmtId="3" fontId="7" fillId="0" borderId="1" xfId="0" applyNumberFormat="1" applyFont="1" applyFill="1" applyBorder="1"/>
    <xf numFmtId="164" fontId="7" fillId="0" borderId="1" xfId="1" applyNumberFormat="1" applyFont="1" applyFill="1" applyBorder="1" applyAlignment="1">
      <alignment vertical="center"/>
    </xf>
    <xf numFmtId="3" fontId="6" fillId="0" borderId="1" xfId="0" applyNumberFormat="1" applyFont="1" applyFill="1" applyBorder="1"/>
    <xf numFmtId="164" fontId="0" fillId="0" borderId="1" xfId="1" applyNumberFormat="1" applyFont="1" applyFill="1" applyBorder="1" applyAlignment="1">
      <alignment vertical="center"/>
    </xf>
    <xf numFmtId="0" fontId="0" fillId="0" borderId="0" xfId="0" applyAlignment="1">
      <alignment wrapText="1"/>
    </xf>
    <xf numFmtId="164" fontId="7" fillId="0" borderId="0" xfId="1" applyNumberFormat="1" applyFont="1" applyBorder="1"/>
    <xf numFmtId="164" fontId="8" fillId="0" borderId="0" xfId="1" applyNumberFormat="1" applyFont="1" applyBorder="1"/>
    <xf numFmtId="164" fontId="7" fillId="0" borderId="0" xfId="1" applyNumberFormat="1" applyFont="1" applyFill="1" applyBorder="1"/>
    <xf numFmtId="164" fontId="12" fillId="0" borderId="0" xfId="1" applyNumberFormat="1" applyFont="1" applyFill="1" applyBorder="1"/>
    <xf numFmtId="164" fontId="8" fillId="0" borderId="0" xfId="1" applyNumberFormat="1" applyFont="1" applyFill="1" applyBorder="1" applyAlignment="1">
      <alignment horizontal="center" vertical="center"/>
    </xf>
    <xf numFmtId="0" fontId="8" fillId="0" borderId="0" xfId="0" quotePrefix="1" applyFont="1" applyFill="1" applyBorder="1" applyAlignment="1">
      <alignment horizontal="center" vertical="center"/>
    </xf>
    <xf numFmtId="0" fontId="2" fillId="0" borderId="0" xfId="0" applyFont="1" applyFill="1"/>
    <xf numFmtId="0" fontId="2" fillId="0" borderId="9" xfId="0" applyFont="1" applyFill="1" applyBorder="1"/>
    <xf numFmtId="165" fontId="7" fillId="0" borderId="10" xfId="0" applyNumberFormat="1" applyFont="1" applyFill="1" applyBorder="1"/>
    <xf numFmtId="165" fontId="8" fillId="0" borderId="10" xfId="0" applyNumberFormat="1" applyFont="1" applyFill="1" applyBorder="1"/>
    <xf numFmtId="165" fontId="2" fillId="0" borderId="9" xfId="0" applyNumberFormat="1" applyFont="1" applyFill="1" applyBorder="1"/>
    <xf numFmtId="165" fontId="8" fillId="0" borderId="24" xfId="0" applyNumberFormat="1" applyFont="1" applyFill="1" applyBorder="1"/>
    <xf numFmtId="164" fontId="7" fillId="0" borderId="1" xfId="1" applyNumberFormat="1" applyFont="1" applyBorder="1" applyAlignment="1">
      <alignment vertical="center"/>
    </xf>
    <xf numFmtId="3" fontId="7" fillId="6" borderId="5" xfId="0" applyNumberFormat="1" applyFont="1" applyFill="1" applyBorder="1"/>
    <xf numFmtId="165" fontId="8" fillId="6" borderId="5" xfId="0" applyNumberFormat="1" applyFont="1" applyFill="1" applyBorder="1"/>
    <xf numFmtId="165" fontId="7" fillId="6" borderId="5" xfId="0" applyNumberFormat="1" applyFont="1" applyFill="1" applyBorder="1"/>
    <xf numFmtId="165" fontId="6" fillId="6" borderId="5" xfId="0" applyNumberFormat="1" applyFont="1" applyFill="1" applyBorder="1"/>
    <xf numFmtId="165" fontId="7" fillId="5" borderId="5" xfId="0" applyNumberFormat="1" applyFont="1" applyFill="1" applyBorder="1"/>
    <xf numFmtId="165" fontId="7" fillId="0" borderId="0" xfId="0" applyNumberFormat="1" applyFont="1" applyFill="1" applyBorder="1"/>
    <xf numFmtId="0" fontId="8" fillId="0" borderId="0" xfId="0" applyFont="1" applyAlignment="1"/>
    <xf numFmtId="165" fontId="8" fillId="5" borderId="9" xfId="0" applyNumberFormat="1" applyFont="1" applyFill="1" applyBorder="1"/>
    <xf numFmtId="164" fontId="8" fillId="0" borderId="0" xfId="1" applyNumberFormat="1" applyFont="1" applyFill="1" applyBorder="1"/>
    <xf numFmtId="0" fontId="16" fillId="0" borderId="0" xfId="0" applyFont="1" applyFill="1" applyBorder="1"/>
    <xf numFmtId="3" fontId="16" fillId="0" borderId="1" xfId="0" applyNumberFormat="1" applyFont="1" applyFill="1" applyBorder="1"/>
    <xf numFmtId="165" fontId="16" fillId="0" borderId="0" xfId="0" applyNumberFormat="1" applyFont="1" applyFill="1" applyBorder="1"/>
    <xf numFmtId="165" fontId="16" fillId="0" borderId="1" xfId="0" applyNumberFormat="1" applyFont="1" applyFill="1" applyBorder="1"/>
    <xf numFmtId="3" fontId="7" fillId="7" borderId="22" xfId="0" applyNumberFormat="1" applyFont="1" applyFill="1" applyBorder="1"/>
    <xf numFmtId="164" fontId="7" fillId="8" borderId="11" xfId="1" applyNumberFormat="1" applyFont="1" applyFill="1" applyBorder="1"/>
    <xf numFmtId="164" fontId="7" fillId="8" borderId="6" xfId="1" applyNumberFormat="1" applyFont="1" applyFill="1" applyBorder="1"/>
    <xf numFmtId="44" fontId="0" fillId="0" borderId="0" xfId="0" applyNumberFormat="1"/>
    <xf numFmtId="3" fontId="8" fillId="0" borderId="0" xfId="0" applyNumberFormat="1" applyFont="1"/>
    <xf numFmtId="165" fontId="8" fillId="0" borderId="0" xfId="0" applyNumberFormat="1" applyFont="1" applyAlignment="1"/>
    <xf numFmtId="0" fontId="8" fillId="0" borderId="0" xfId="0" applyFont="1" applyAlignment="1">
      <alignment horizontal="right"/>
    </xf>
    <xf numFmtId="165" fontId="8" fillId="0" borderId="0" xfId="0" applyNumberFormat="1" applyFont="1"/>
    <xf numFmtId="165" fontId="6" fillId="7" borderId="5" xfId="0" applyNumberFormat="1" applyFont="1" applyFill="1" applyBorder="1"/>
    <xf numFmtId="165" fontId="7" fillId="7" borderId="10" xfId="0" applyNumberFormat="1" applyFont="1" applyFill="1" applyBorder="1"/>
    <xf numFmtId="165" fontId="8" fillId="7" borderId="10" xfId="0" applyNumberFormat="1" applyFont="1" applyFill="1" applyBorder="1"/>
    <xf numFmtId="165" fontId="2" fillId="7" borderId="9" xfId="0" applyNumberFormat="1" applyFont="1" applyFill="1" applyBorder="1"/>
    <xf numFmtId="165" fontId="8" fillId="7" borderId="24" xfId="0" applyNumberFormat="1" applyFont="1" applyFill="1" applyBorder="1"/>
    <xf numFmtId="43" fontId="7" fillId="0" borderId="1" xfId="1" applyNumberFormat="1" applyFont="1" applyBorder="1"/>
    <xf numFmtId="3" fontId="7" fillId="0" borderId="22" xfId="0" applyNumberFormat="1" applyFont="1" applyFill="1" applyBorder="1"/>
    <xf numFmtId="165" fontId="7" fillId="0" borderId="22" xfId="0" applyNumberFormat="1" applyFont="1" applyFill="1" applyBorder="1"/>
    <xf numFmtId="165" fontId="6" fillId="0" borderId="19" xfId="0" applyNumberFormat="1" applyFont="1" applyFill="1" applyBorder="1"/>
    <xf numFmtId="165" fontId="8" fillId="0" borderId="22" xfId="0" applyNumberFormat="1" applyFont="1" applyFill="1" applyBorder="1"/>
    <xf numFmtId="0" fontId="6" fillId="0" borderId="31" xfId="0" applyFont="1" applyFill="1" applyBorder="1"/>
    <xf numFmtId="165" fontId="7" fillId="10" borderId="0" xfId="0" applyNumberFormat="1" applyFont="1" applyFill="1"/>
    <xf numFmtId="8" fontId="0" fillId="0" borderId="0" xfId="0" applyNumberFormat="1"/>
    <xf numFmtId="0" fontId="0" fillId="0" borderId="12" xfId="0" applyBorder="1"/>
    <xf numFmtId="0" fontId="0" fillId="12" borderId="12" xfId="0" applyFill="1" applyBorder="1" applyAlignment="1">
      <alignment horizontal="center"/>
    </xf>
    <xf numFmtId="0" fontId="0" fillId="12" borderId="0" xfId="0" applyFill="1" applyBorder="1" applyAlignment="1">
      <alignment horizontal="center"/>
    </xf>
    <xf numFmtId="0" fontId="0" fillId="12" borderId="0" xfId="0" applyFill="1"/>
    <xf numFmtId="0" fontId="0" fillId="12" borderId="38" xfId="0" applyFill="1" applyBorder="1"/>
    <xf numFmtId="166" fontId="7" fillId="0" borderId="1" xfId="1" applyNumberFormat="1" applyFont="1" applyBorder="1"/>
    <xf numFmtId="166" fontId="8" fillId="0" borderId="1" xfId="1" applyNumberFormat="1" applyFont="1" applyBorder="1"/>
    <xf numFmtId="166" fontId="2" fillId="0" borderId="1" xfId="1" applyNumberFormat="1" applyFont="1" applyBorder="1"/>
    <xf numFmtId="166" fontId="8" fillId="0" borderId="0" xfId="1" applyNumberFormat="1" applyFont="1"/>
    <xf numFmtId="166" fontId="2" fillId="0" borderId="0" xfId="1" applyNumberFormat="1" applyFont="1"/>
    <xf numFmtId="166" fontId="7" fillId="0" borderId="0" xfId="0" applyNumberFormat="1" applyFont="1"/>
    <xf numFmtId="0" fontId="0" fillId="0" borderId="7" xfId="0" applyBorder="1" applyAlignment="1">
      <alignment horizontal="left"/>
    </xf>
    <xf numFmtId="0" fontId="0" fillId="0" borderId="7" xfId="0" applyBorder="1" applyAlignment="1">
      <alignment horizontal="left" vertical="center"/>
    </xf>
    <xf numFmtId="0" fontId="18" fillId="0" borderId="7" xfId="0" applyFont="1" applyBorder="1" applyAlignment="1">
      <alignment horizontal="left" vertical="center"/>
    </xf>
    <xf numFmtId="44" fontId="0" fillId="0" borderId="39" xfId="0" applyNumberFormat="1" applyBorder="1" applyAlignment="1">
      <alignment horizontal="center"/>
    </xf>
    <xf numFmtId="44" fontId="0" fillId="0" borderId="37" xfId="0" applyNumberFormat="1" applyBorder="1"/>
    <xf numFmtId="44" fontId="0" fillId="0" borderId="5" xfId="0" applyNumberFormat="1" applyBorder="1"/>
    <xf numFmtId="44" fontId="0" fillId="0" borderId="29" xfId="0" applyNumberFormat="1" applyBorder="1"/>
    <xf numFmtId="44" fontId="0" fillId="0" borderId="20" xfId="0" applyNumberFormat="1" applyBorder="1"/>
    <xf numFmtId="44" fontId="0" fillId="0" borderId="11" xfId="0" applyNumberFormat="1" applyBorder="1"/>
    <xf numFmtId="44" fontId="14" fillId="0" borderId="37" xfId="0" applyNumberFormat="1" applyFont="1" applyBorder="1"/>
    <xf numFmtId="166" fontId="7" fillId="0" borderId="0" xfId="1" applyNumberFormat="1" applyFont="1"/>
    <xf numFmtId="164" fontId="8" fillId="0" borderId="28" xfId="1" applyNumberFormat="1" applyFont="1" applyBorder="1"/>
    <xf numFmtId="164" fontId="8" fillId="0" borderId="29" xfId="1" applyNumberFormat="1" applyFont="1" applyBorder="1"/>
    <xf numFmtId="164" fontId="8" fillId="0" borderId="27" xfId="1" applyNumberFormat="1" applyFont="1" applyBorder="1"/>
    <xf numFmtId="165" fontId="8" fillId="0" borderId="2" xfId="0" applyNumberFormat="1" applyFont="1" applyBorder="1"/>
    <xf numFmtId="165" fontId="8" fillId="0" borderId="0" xfId="0" applyNumberFormat="1" applyFont="1" applyBorder="1"/>
    <xf numFmtId="165" fontId="8" fillId="0" borderId="0" xfId="1" applyNumberFormat="1" applyFont="1" applyBorder="1"/>
    <xf numFmtId="165" fontId="8" fillId="0" borderId="16" xfId="0" applyNumberFormat="1" applyFont="1" applyFill="1" applyBorder="1"/>
    <xf numFmtId="165" fontId="8" fillId="6" borderId="0" xfId="0" applyNumberFormat="1" applyFont="1" applyFill="1" applyBorder="1"/>
    <xf numFmtId="165" fontId="8" fillId="5" borderId="0" xfId="0" applyNumberFormat="1" applyFont="1" applyFill="1" applyBorder="1"/>
    <xf numFmtId="165" fontId="8" fillId="6" borderId="19" xfId="0" applyNumberFormat="1" applyFont="1" applyFill="1" applyBorder="1"/>
    <xf numFmtId="165" fontId="8" fillId="6" borderId="9" xfId="0" applyNumberFormat="1" applyFont="1" applyFill="1" applyBorder="1"/>
    <xf numFmtId="165" fontId="8" fillId="0" borderId="9" xfId="0" applyNumberFormat="1" applyFont="1" applyFill="1" applyBorder="1"/>
    <xf numFmtId="165" fontId="8" fillId="7" borderId="9" xfId="0" applyNumberFormat="1" applyFont="1" applyFill="1" applyBorder="1"/>
    <xf numFmtId="165" fontId="7" fillId="0" borderId="9" xfId="0" applyNumberFormat="1" applyFont="1" applyFill="1" applyBorder="1"/>
    <xf numFmtId="165" fontId="7" fillId="0" borderId="3" xfId="0" applyNumberFormat="1" applyFont="1" applyBorder="1"/>
    <xf numFmtId="165" fontId="7" fillId="0" borderId="3" xfId="0" applyNumberFormat="1" applyFont="1" applyFill="1" applyBorder="1"/>
    <xf numFmtId="165" fontId="6" fillId="0" borderId="30" xfId="0" applyNumberFormat="1" applyFont="1" applyFill="1" applyBorder="1"/>
    <xf numFmtId="165" fontId="6" fillId="0" borderId="3" xfId="0" applyNumberFormat="1" applyFont="1" applyFill="1" applyBorder="1"/>
    <xf numFmtId="165" fontId="7" fillId="0" borderId="40" xfId="0" applyNumberFormat="1" applyFont="1" applyFill="1" applyBorder="1"/>
    <xf numFmtId="0" fontId="2" fillId="0" borderId="11" xfId="0" applyFont="1" applyBorder="1"/>
    <xf numFmtId="0" fontId="8" fillId="0" borderId="11" xfId="0" applyFont="1" applyBorder="1"/>
    <xf numFmtId="164" fontId="8" fillId="0" borderId="2" xfId="1" applyNumberFormat="1" applyFont="1" applyBorder="1"/>
    <xf numFmtId="164" fontId="7" fillId="0" borderId="11" xfId="1" applyNumberFormat="1" applyFont="1" applyBorder="1"/>
    <xf numFmtId="165" fontId="7" fillId="0" borderId="16" xfId="0" applyNumberFormat="1" applyFont="1" applyFill="1" applyBorder="1"/>
    <xf numFmtId="165" fontId="7" fillId="0" borderId="32" xfId="0" applyNumberFormat="1" applyFont="1" applyFill="1" applyBorder="1"/>
    <xf numFmtId="0" fontId="0" fillId="0" borderId="1" xfId="0" applyBorder="1" applyAlignment="1">
      <alignment vertical="center"/>
    </xf>
    <xf numFmtId="0" fontId="0" fillId="0" borderId="1" xfId="0" applyFill="1" applyBorder="1" applyAlignment="1">
      <alignment horizontal="left" vertical="center" wrapText="1" indent="1"/>
    </xf>
    <xf numFmtId="43" fontId="0" fillId="0" borderId="1" xfId="1" applyFont="1" applyBorder="1" applyAlignment="1">
      <alignment vertical="center"/>
    </xf>
    <xf numFmtId="0" fontId="0" fillId="0" borderId="1" xfId="0" applyBorder="1" applyAlignment="1">
      <alignment horizontal="right" vertical="center"/>
    </xf>
    <xf numFmtId="0" fontId="0" fillId="0" borderId="0" xfId="0" applyAlignment="1">
      <alignment vertical="center"/>
    </xf>
    <xf numFmtId="0" fontId="0" fillId="0" borderId="0" xfId="0" applyAlignment="1">
      <alignment vertical="center" wrapText="1"/>
    </xf>
    <xf numFmtId="43" fontId="0" fillId="0" borderId="0" xfId="1" applyFont="1" applyAlignment="1">
      <alignment vertical="center"/>
    </xf>
    <xf numFmtId="43" fontId="6" fillId="0" borderId="1" xfId="1" applyFont="1" applyBorder="1" applyAlignment="1">
      <alignment vertical="center"/>
    </xf>
    <xf numFmtId="3" fontId="0" fillId="0" borderId="0" xfId="0" applyNumberFormat="1" applyAlignment="1">
      <alignment vertical="center"/>
    </xf>
    <xf numFmtId="43" fontId="0" fillId="0" borderId="0" xfId="0" applyNumberFormat="1"/>
    <xf numFmtId="164" fontId="2" fillId="0" borderId="1" xfId="1" applyNumberFormat="1" applyFont="1" applyBorder="1"/>
    <xf numFmtId="164" fontId="12" fillId="0" borderId="1" xfId="1" applyNumberFormat="1" applyFont="1" applyFill="1" applyBorder="1"/>
    <xf numFmtId="166" fontId="6" fillId="0" borderId="0" xfId="1" applyNumberFormat="1" applyFont="1"/>
    <xf numFmtId="165" fontId="7" fillId="0" borderId="5" xfId="0" applyNumberFormat="1" applyFont="1" applyBorder="1"/>
    <xf numFmtId="164" fontId="9" fillId="0" borderId="0" xfId="1" applyNumberFormat="1" applyFont="1" applyBorder="1"/>
    <xf numFmtId="166" fontId="8" fillId="0" borderId="3" xfId="1" applyNumberFormat="1" applyFont="1" applyBorder="1"/>
    <xf numFmtId="0" fontId="0" fillId="0" borderId="0" xfId="0" applyBorder="1" applyAlignment="1">
      <alignment horizontal="left" vertical="center"/>
    </xf>
    <xf numFmtId="44" fontId="0" fillId="0" borderId="0" xfId="0" applyNumberFormat="1" applyBorder="1"/>
    <xf numFmtId="0" fontId="7" fillId="0" borderId="0" xfId="0" applyFont="1" applyAlignment="1">
      <alignment vertical="center"/>
    </xf>
    <xf numFmtId="44" fontId="7" fillId="0" borderId="0" xfId="0" applyNumberFormat="1" applyFont="1" applyAlignment="1">
      <alignment vertical="center"/>
    </xf>
    <xf numFmtId="0" fontId="7" fillId="0" borderId="0" xfId="0" applyFont="1" applyAlignment="1"/>
    <xf numFmtId="166" fontId="7" fillId="0" borderId="1" xfId="1" applyNumberFormat="1" applyFont="1" applyFill="1" applyBorder="1"/>
    <xf numFmtId="166" fontId="8" fillId="0" borderId="1" xfId="1" applyNumberFormat="1" applyFont="1" applyFill="1" applyBorder="1"/>
    <xf numFmtId="166" fontId="2" fillId="0" borderId="1" xfId="1" applyNumberFormat="1" applyFont="1" applyFill="1" applyBorder="1"/>
    <xf numFmtId="166" fontId="0" fillId="0" borderId="1" xfId="0" applyNumberFormat="1" applyFont="1" applyFill="1" applyBorder="1"/>
    <xf numFmtId="166" fontId="0" fillId="0" borderId="1" xfId="0" applyNumberFormat="1" applyFill="1" applyBorder="1"/>
    <xf numFmtId="0" fontId="6" fillId="0" borderId="42" xfId="0" applyFont="1" applyBorder="1"/>
    <xf numFmtId="0" fontId="2" fillId="0" borderId="42" xfId="0" applyFont="1" applyBorder="1"/>
    <xf numFmtId="0" fontId="6" fillId="0" borderId="42" xfId="0" applyFont="1" applyFill="1" applyBorder="1"/>
    <xf numFmtId="0" fontId="6" fillId="0" borderId="34" xfId="0" applyFont="1" applyBorder="1"/>
    <xf numFmtId="0" fontId="6" fillId="0" borderId="19" xfId="0" applyFont="1" applyBorder="1"/>
    <xf numFmtId="0" fontId="2" fillId="0" borderId="0" xfId="0" applyFont="1" applyBorder="1"/>
    <xf numFmtId="0" fontId="9" fillId="0" borderId="0" xfId="0" applyFont="1" applyBorder="1" applyAlignment="1">
      <alignment vertical="center"/>
    </xf>
    <xf numFmtId="0" fontId="9" fillId="0" borderId="0" xfId="0" applyFont="1" applyBorder="1" applyAlignment="1">
      <alignment horizontal="right" wrapText="1"/>
    </xf>
    <xf numFmtId="0" fontId="8" fillId="0" borderId="16" xfId="0" applyFont="1" applyBorder="1"/>
    <xf numFmtId="0" fontId="8" fillId="0" borderId="0" xfId="0" applyFont="1" applyBorder="1"/>
    <xf numFmtId="0" fontId="9" fillId="0" borderId="0" xfId="0" applyFont="1" applyBorder="1"/>
    <xf numFmtId="0" fontId="7" fillId="0" borderId="16" xfId="0" applyFont="1" applyBorder="1"/>
    <xf numFmtId="0" fontId="7" fillId="0" borderId="16" xfId="0" applyFont="1" applyBorder="1" applyAlignment="1">
      <alignment wrapText="1"/>
    </xf>
    <xf numFmtId="0" fontId="23" fillId="0" borderId="16" xfId="0" applyFont="1" applyBorder="1"/>
    <xf numFmtId="0" fontId="2" fillId="0" borderId="16" xfId="0" applyFont="1" applyBorder="1"/>
    <xf numFmtId="0" fontId="0" fillId="0" borderId="16" xfId="0" applyBorder="1"/>
    <xf numFmtId="0" fontId="0" fillId="0" borderId="16" xfId="0" applyBorder="1" applyAlignment="1">
      <alignment vertical="center"/>
    </xf>
    <xf numFmtId="0" fontId="7" fillId="0" borderId="16" xfId="0" applyFont="1" applyFill="1" applyBorder="1"/>
    <xf numFmtId="165" fontId="6" fillId="0" borderId="19" xfId="0" applyNumberFormat="1" applyFont="1" applyBorder="1"/>
    <xf numFmtId="0" fontId="8" fillId="0" borderId="16" xfId="0" applyFont="1" applyFill="1" applyBorder="1"/>
    <xf numFmtId="0" fontId="6" fillId="0" borderId="43" xfId="0" applyFont="1" applyBorder="1"/>
    <xf numFmtId="0" fontId="9" fillId="0" borderId="43" xfId="0" applyFont="1" applyBorder="1"/>
    <xf numFmtId="164" fontId="8" fillId="0" borderId="45" xfId="1" applyNumberFormat="1" applyFont="1" applyBorder="1"/>
    <xf numFmtId="164" fontId="7" fillId="0" borderId="46" xfId="1" applyNumberFormat="1" applyFont="1" applyFill="1" applyBorder="1"/>
    <xf numFmtId="164" fontId="7" fillId="0" borderId="47" xfId="1" applyNumberFormat="1" applyFont="1" applyBorder="1"/>
    <xf numFmtId="164" fontId="7" fillId="0" borderId="43" xfId="1" applyNumberFormat="1" applyFont="1" applyBorder="1"/>
    <xf numFmtId="164" fontId="7" fillId="0" borderId="43" xfId="1" applyNumberFormat="1" applyFont="1" applyFill="1" applyBorder="1"/>
    <xf numFmtId="165" fontId="7" fillId="0" borderId="48" xfId="0" applyNumberFormat="1" applyFont="1" applyBorder="1"/>
    <xf numFmtId="165" fontId="7" fillId="0" borderId="43" xfId="0" applyNumberFormat="1" applyFont="1" applyBorder="1"/>
    <xf numFmtId="165" fontId="6" fillId="0" borderId="35" xfId="0" applyNumberFormat="1" applyFont="1" applyFill="1" applyBorder="1"/>
    <xf numFmtId="165" fontId="6" fillId="0" borderId="43" xfId="0" applyNumberFormat="1" applyFont="1" applyFill="1" applyBorder="1"/>
    <xf numFmtId="165" fontId="7" fillId="0" borderId="43" xfId="0" applyNumberFormat="1" applyFont="1" applyFill="1" applyBorder="1"/>
    <xf numFmtId="165" fontId="16" fillId="0" borderId="43" xfId="0" applyNumberFormat="1" applyFont="1" applyFill="1" applyBorder="1"/>
    <xf numFmtId="165" fontId="6" fillId="0" borderId="36" xfId="0" applyNumberFormat="1" applyFont="1" applyFill="1" applyBorder="1"/>
    <xf numFmtId="165" fontId="6" fillId="6" borderId="43" xfId="0" applyNumberFormat="1" applyFont="1" applyFill="1" applyBorder="1"/>
    <xf numFmtId="165" fontId="6" fillId="5" borderId="43" xfId="0" applyNumberFormat="1" applyFont="1" applyFill="1" applyBorder="1"/>
    <xf numFmtId="165" fontId="6" fillId="6" borderId="36" xfId="0" applyNumberFormat="1" applyFont="1" applyFill="1" applyBorder="1"/>
    <xf numFmtId="0" fontId="8" fillId="0" borderId="13" xfId="0" applyFont="1" applyBorder="1"/>
    <xf numFmtId="0" fontId="8" fillId="5" borderId="13" xfId="0" applyFont="1" applyFill="1" applyBorder="1"/>
    <xf numFmtId="0" fontId="2" fillId="6" borderId="13" xfId="0" applyFont="1" applyFill="1" applyBorder="1"/>
    <xf numFmtId="165" fontId="2" fillId="6" borderId="13" xfId="0" applyNumberFormat="1" applyFont="1" applyFill="1" applyBorder="1"/>
    <xf numFmtId="0" fontId="6" fillId="0" borderId="43" xfId="0" applyFont="1" applyFill="1" applyBorder="1"/>
    <xf numFmtId="165" fontId="2" fillId="0" borderId="13" xfId="0" applyNumberFormat="1" applyFont="1" applyFill="1" applyBorder="1"/>
    <xf numFmtId="165" fontId="2" fillId="7" borderId="13" xfId="0" applyNumberFormat="1" applyFont="1" applyFill="1" applyBorder="1"/>
    <xf numFmtId="0" fontId="6" fillId="0" borderId="36" xfId="0" applyFont="1" applyBorder="1"/>
    <xf numFmtId="44" fontId="0" fillId="13" borderId="5" xfId="0" applyNumberFormat="1" applyFill="1" applyBorder="1" applyAlignment="1">
      <alignment horizontal="center"/>
    </xf>
    <xf numFmtId="0" fontId="8" fillId="0" borderId="16" xfId="0" applyFont="1" applyBorder="1" applyAlignment="1">
      <alignment horizontal="left" vertical="center" wrapText="1"/>
    </xf>
    <xf numFmtId="0" fontId="7" fillId="0" borderId="35" xfId="0" applyFont="1" applyBorder="1"/>
    <xf numFmtId="0" fontId="0" fillId="0" borderId="0" xfId="0" applyFont="1" applyAlignment="1">
      <alignment vertical="top" wrapText="1"/>
    </xf>
    <xf numFmtId="0" fontId="0" fillId="0" borderId="0" xfId="0" applyAlignment="1">
      <alignment horizontal="center"/>
    </xf>
    <xf numFmtId="8" fontId="0" fillId="0" borderId="0" xfId="0" applyNumberFormat="1" applyFill="1"/>
    <xf numFmtId="0" fontId="0" fillId="0" borderId="0" xfId="0" applyAlignment="1">
      <alignment horizontal="left"/>
    </xf>
    <xf numFmtId="0" fontId="14" fillId="0" borderId="0" xfId="0" applyFont="1"/>
    <xf numFmtId="14" fontId="14" fillId="0" borderId="0" xfId="0" applyNumberFormat="1" applyFont="1"/>
    <xf numFmtId="167" fontId="0" fillId="0" borderId="0" xfId="0" applyNumberFormat="1"/>
    <xf numFmtId="0" fontId="14" fillId="0" borderId="27" xfId="0" applyFont="1" applyBorder="1"/>
    <xf numFmtId="0" fontId="0" fillId="0" borderId="28" xfId="0" applyBorder="1"/>
    <xf numFmtId="167" fontId="0" fillId="0" borderId="29" xfId="0" applyNumberFormat="1" applyBorder="1"/>
    <xf numFmtId="0" fontId="0" fillId="0" borderId="2" xfId="0" applyBorder="1"/>
    <xf numFmtId="167" fontId="0" fillId="0" borderId="11" xfId="0" applyNumberFormat="1" applyBorder="1"/>
    <xf numFmtId="0" fontId="0" fillId="0" borderId="0" xfId="0" applyBorder="1" applyAlignment="1"/>
    <xf numFmtId="167" fontId="0" fillId="0" borderId="11" xfId="0" applyNumberFormat="1" applyBorder="1" applyAlignment="1"/>
    <xf numFmtId="0" fontId="0" fillId="0" borderId="14" xfId="0" applyBorder="1"/>
    <xf numFmtId="0" fontId="0" fillId="0" borderId="23" xfId="0" applyBorder="1"/>
    <xf numFmtId="167" fontId="0" fillId="0" borderId="20" xfId="0" applyNumberFormat="1" applyBorder="1"/>
    <xf numFmtId="0" fontId="0" fillId="0" borderId="0" xfId="0" applyBorder="1" applyAlignment="1">
      <alignment wrapText="1"/>
    </xf>
    <xf numFmtId="167" fontId="0" fillId="0" borderId="0" xfId="0" applyNumberFormat="1" applyBorder="1"/>
    <xf numFmtId="167" fontId="22" fillId="0" borderId="0" xfId="0" applyNumberFormat="1" applyFont="1" applyBorder="1"/>
    <xf numFmtId="167" fontId="7" fillId="0" borderId="11" xfId="0" applyNumberFormat="1" applyFont="1" applyBorder="1"/>
    <xf numFmtId="167" fontId="0" fillId="0" borderId="11" xfId="0" applyNumberFormat="1" applyFont="1" applyBorder="1"/>
    <xf numFmtId="8" fontId="0" fillId="0" borderId="11" xfId="0" applyNumberFormat="1" applyBorder="1"/>
    <xf numFmtId="167" fontId="0" fillId="7" borderId="11" xfId="0" applyNumberFormat="1" applyFill="1" applyBorder="1"/>
    <xf numFmtId="0" fontId="0" fillId="0" borderId="2" xfId="0" applyBorder="1" applyAlignment="1">
      <alignment wrapText="1"/>
    </xf>
    <xf numFmtId="0" fontId="0" fillId="0" borderId="2" xfId="0" applyBorder="1" applyAlignment="1">
      <alignment horizontal="left" wrapText="1"/>
    </xf>
    <xf numFmtId="0" fontId="0" fillId="0" borderId="0" xfId="0" applyBorder="1" applyAlignment="1">
      <alignment horizontal="left" wrapText="1"/>
    </xf>
    <xf numFmtId="8" fontId="0" fillId="0" borderId="20" xfId="0" applyNumberFormat="1" applyBorder="1"/>
    <xf numFmtId="167" fontId="22" fillId="0" borderId="11" xfId="0" applyNumberFormat="1" applyFont="1" applyBorder="1"/>
    <xf numFmtId="165" fontId="8" fillId="0" borderId="7" xfId="0" applyNumberFormat="1" applyFont="1" applyFill="1" applyBorder="1"/>
    <xf numFmtId="0" fontId="8" fillId="0" borderId="0" xfId="0" applyFont="1" applyBorder="1" applyAlignment="1">
      <alignment horizontal="left" vertical="center" wrapText="1"/>
    </xf>
    <xf numFmtId="164" fontId="7" fillId="8" borderId="0" xfId="1" applyNumberFormat="1" applyFont="1" applyFill="1" applyBorder="1"/>
    <xf numFmtId="165" fontId="7" fillId="5" borderId="0" xfId="0" applyNumberFormat="1" applyFont="1" applyFill="1" applyBorder="1"/>
    <xf numFmtId="165" fontId="7" fillId="6" borderId="9" xfId="0" applyNumberFormat="1" applyFont="1" applyFill="1" applyBorder="1"/>
    <xf numFmtId="165" fontId="7" fillId="7" borderId="9" xfId="0" applyNumberFormat="1" applyFont="1" applyFill="1" applyBorder="1"/>
    <xf numFmtId="166" fontId="8" fillId="0" borderId="44" xfId="1" applyNumberFormat="1" applyFont="1" applyBorder="1"/>
    <xf numFmtId="164" fontId="8" fillId="9" borderId="26" xfId="1" applyNumberFormat="1" applyFont="1" applyFill="1" applyBorder="1" applyAlignment="1">
      <alignment horizontal="center" vertical="center" wrapText="1"/>
    </xf>
    <xf numFmtId="164" fontId="8" fillId="9" borderId="3" xfId="1" applyNumberFormat="1"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8" xfId="0" applyFont="1" applyFill="1" applyBorder="1" applyAlignment="1">
      <alignment horizontal="center" vertical="center" wrapText="1"/>
    </xf>
    <xf numFmtId="17" fontId="13" fillId="2" borderId="8" xfId="2" applyNumberFormat="1" applyFont="1" applyFill="1" applyBorder="1" applyAlignment="1">
      <alignment horizontal="center" vertical="center" wrapText="1"/>
    </xf>
    <xf numFmtId="17" fontId="13" fillId="2" borderId="13" xfId="2" applyNumberFormat="1" applyFont="1" applyFill="1" applyBorder="1" applyAlignment="1">
      <alignment horizontal="center" vertical="center" wrapText="1"/>
    </xf>
    <xf numFmtId="17" fontId="13" fillId="4" borderId="8" xfId="2" applyNumberFormat="1" applyFont="1" applyFill="1" applyBorder="1" applyAlignment="1">
      <alignment horizontal="center" vertical="center" wrapText="1"/>
    </xf>
    <xf numFmtId="17" fontId="13" fillId="4" borderId="13" xfId="2" applyNumberFormat="1" applyFont="1" applyFill="1" applyBorder="1" applyAlignment="1">
      <alignment horizontal="center" vertical="center" wrapText="1"/>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164" fontId="8" fillId="3" borderId="26" xfId="1" applyNumberFormat="1"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164" fontId="8" fillId="3" borderId="1" xfId="1"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20" fillId="7" borderId="33" xfId="0" applyFont="1" applyFill="1" applyBorder="1" applyAlignment="1">
      <alignment horizontal="center" vertical="center" wrapText="1"/>
    </xf>
    <xf numFmtId="0" fontId="20" fillId="7" borderId="34" xfId="0" applyFont="1" applyFill="1" applyBorder="1" applyAlignment="1">
      <alignment horizontal="center" vertical="center" wrapText="1"/>
    </xf>
    <xf numFmtId="0" fontId="20" fillId="7" borderId="35" xfId="0" applyFont="1" applyFill="1" applyBorder="1" applyAlignment="1">
      <alignment horizontal="center" vertical="center" wrapText="1"/>
    </xf>
    <xf numFmtId="0" fontId="20" fillId="7" borderId="36" xfId="0" applyFont="1" applyFill="1" applyBorder="1" applyAlignment="1">
      <alignment horizontal="center" vertical="center" wrapText="1"/>
    </xf>
    <xf numFmtId="164" fontId="8" fillId="3" borderId="41" xfId="1" applyNumberFormat="1" applyFont="1" applyFill="1" applyBorder="1" applyAlignment="1">
      <alignment horizontal="center" vertical="center"/>
    </xf>
    <xf numFmtId="164" fontId="8" fillId="3" borderId="30" xfId="1" applyNumberFormat="1" applyFont="1" applyFill="1" applyBorder="1" applyAlignment="1">
      <alignment horizontal="center" vertical="center"/>
    </xf>
    <xf numFmtId="0" fontId="0" fillId="0" borderId="27" xfId="0" applyBorder="1" applyAlignment="1">
      <alignment horizontal="left" vertical="center"/>
    </xf>
    <xf numFmtId="0" fontId="0" fillId="0" borderId="2" xfId="0" applyBorder="1" applyAlignment="1">
      <alignment horizontal="left" vertical="center"/>
    </xf>
    <xf numFmtId="0" fontId="0" fillId="0" borderId="14" xfId="0" applyBorder="1" applyAlignment="1">
      <alignment horizontal="left" vertical="center"/>
    </xf>
    <xf numFmtId="0" fontId="14" fillId="11" borderId="7" xfId="0" applyFont="1" applyFill="1" applyBorder="1" applyAlignment="1">
      <alignment horizontal="left"/>
    </xf>
    <xf numFmtId="0" fontId="14" fillId="11" borderId="12" xfId="0" applyFont="1" applyFill="1" applyBorder="1" applyAlignment="1">
      <alignment horizontal="left"/>
    </xf>
    <xf numFmtId="0" fontId="14" fillId="7" borderId="7" xfId="0" applyFont="1" applyFill="1" applyBorder="1" applyAlignment="1">
      <alignment horizontal="left"/>
    </xf>
    <xf numFmtId="0" fontId="14" fillId="7" borderId="12" xfId="0" applyFont="1" applyFill="1" applyBorder="1" applyAlignment="1">
      <alignment horizontal="left"/>
    </xf>
    <xf numFmtId="0" fontId="0" fillId="0" borderId="0" xfId="0" applyFont="1" applyAlignment="1">
      <alignment horizontal="left" vertical="center" wrapText="1"/>
    </xf>
    <xf numFmtId="0" fontId="0" fillId="0" borderId="0" xfId="0" applyAlignment="1">
      <alignment horizontal="left" wrapText="1"/>
    </xf>
    <xf numFmtId="0" fontId="14" fillId="0" borderId="27" xfId="0" applyFont="1" applyBorder="1" applyAlignment="1">
      <alignment horizontal="left" wrapText="1"/>
    </xf>
    <xf numFmtId="0" fontId="14" fillId="0" borderId="28" xfId="0" applyFont="1" applyBorder="1" applyAlignment="1">
      <alignment horizontal="left" wrapText="1"/>
    </xf>
    <xf numFmtId="0" fontId="14" fillId="0" borderId="29" xfId="0" applyFont="1" applyBorder="1" applyAlignment="1">
      <alignment horizontal="left" wrapText="1"/>
    </xf>
    <xf numFmtId="0" fontId="24" fillId="0" borderId="2" xfId="0" applyFont="1" applyBorder="1" applyAlignment="1">
      <alignment horizontal="left" vertical="center" wrapText="1"/>
    </xf>
    <xf numFmtId="0" fontId="24" fillId="0" borderId="0" xfId="0" applyFont="1" applyBorder="1" applyAlignment="1">
      <alignment horizontal="left" vertical="center" wrapText="1"/>
    </xf>
    <xf numFmtId="0" fontId="24" fillId="0" borderId="11" xfId="0" applyFont="1" applyBorder="1" applyAlignment="1">
      <alignment horizontal="left" vertical="center" wrapText="1"/>
    </xf>
    <xf numFmtId="0" fontId="0" fillId="0" borderId="2"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2" xfId="0" applyBorder="1" applyAlignment="1">
      <alignment horizontal="left" wrapText="1"/>
    </xf>
    <xf numFmtId="0" fontId="0" fillId="0" borderId="0" xfId="0" applyBorder="1" applyAlignment="1">
      <alignment horizontal="left" wrapText="1"/>
    </xf>
    <xf numFmtId="0" fontId="0" fillId="0" borderId="11" xfId="0" applyBorder="1" applyAlignment="1">
      <alignment horizontal="left"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21" fillId="0" borderId="42" xfId="0" applyFont="1" applyFill="1" applyBorder="1" applyAlignment="1"/>
    <xf numFmtId="0" fontId="21" fillId="0" borderId="16" xfId="0" applyFont="1" applyFill="1" applyBorder="1" applyAlignment="1"/>
    <xf numFmtId="0" fontId="21" fillId="0" borderId="0" xfId="0" applyFont="1" applyFill="1" applyBorder="1" applyAlignment="1"/>
    <xf numFmtId="0" fontId="27" fillId="0" borderId="0" xfId="0" applyFont="1" applyFill="1" applyBorder="1" applyAlignment="1"/>
  </cellXfs>
  <cellStyles count="8">
    <cellStyle name="Comma" xfId="1" builtinId="3"/>
    <cellStyle name="Currency 2 2" xfId="5"/>
    <cellStyle name="Normal" xfId="0" builtinId="0"/>
    <cellStyle name="Normal 14" xfId="7"/>
    <cellStyle name="Normal 2 2" xfId="6"/>
    <cellStyle name="Normal 3 2" xfId="2"/>
    <cellStyle name="Normal 4" xfId="3"/>
    <cellStyle name="Normal 72" xfId="4"/>
  </cellStyles>
  <dxfs count="0"/>
  <tableStyles count="0" defaultTableStyle="TableStyleMedium2" defaultPivotStyle="PivotStyleLight16"/>
  <colors>
    <mruColors>
      <color rgb="FFA9C270"/>
      <color rgb="FFEBF1D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20-%20IES/Commercial/Resilience%20options%20costings/Resilience%20options%20co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silience options costs"/>
    </sheetNames>
    <sheetDataSet>
      <sheetData sheetId="0"/>
      <sheetData sheetId="1">
        <row r="10">
          <cell r="O10">
            <v>-500000</v>
          </cell>
        </row>
        <row r="35">
          <cell r="G35">
            <v>20000</v>
          </cell>
        </row>
        <row r="37">
          <cell r="G37">
            <v>-1412468.0300000003</v>
          </cell>
          <cell r="O37">
            <v>164001.07999999996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R157"/>
  <sheetViews>
    <sheetView showGridLines="0" tabSelected="1" zoomScale="90" zoomScaleNormal="90" workbookViewId="0">
      <pane xSplit="13" ySplit="5" topLeftCell="N6" activePane="bottomRight" state="frozen"/>
      <selection pane="topRight" activeCell="Q1" sqref="Q1"/>
      <selection pane="bottomLeft" activeCell="A6" sqref="A6"/>
      <selection pane="bottomRight" activeCell="CY38" sqref="CY38"/>
    </sheetView>
  </sheetViews>
  <sheetFormatPr defaultColWidth="9.140625" defaultRowHeight="15" x14ac:dyDescent="0.25"/>
  <cols>
    <col min="1" max="1" width="49.42578125" style="9" customWidth="1"/>
    <col min="2" max="2" width="14.42578125" style="8" customWidth="1"/>
    <col min="3" max="3" width="18" style="187" bestFit="1" customWidth="1"/>
    <col min="4" max="4" width="12.140625" style="9" hidden="1" customWidth="1"/>
    <col min="5" max="8" width="11.5703125" style="9" hidden="1" customWidth="1"/>
    <col min="9" max="9" width="2.7109375" style="9" hidden="1" customWidth="1"/>
    <col min="10" max="13" width="11.5703125" style="9" hidden="1" customWidth="1"/>
    <col min="14" max="14" width="1.28515625" style="9" hidden="1" customWidth="1"/>
    <col min="15" max="18" width="11.5703125" style="9" hidden="1" customWidth="1"/>
    <col min="19" max="19" width="1.5703125" style="11" hidden="1" customWidth="1"/>
    <col min="20" max="27" width="11.5703125" style="9" hidden="1" customWidth="1"/>
    <col min="28" max="28" width="1.5703125" style="9" hidden="1" customWidth="1"/>
    <col min="29" max="32" width="11.5703125" style="9" hidden="1" customWidth="1"/>
    <col min="33" max="33" width="6.7109375" style="9" hidden="1" customWidth="1"/>
    <col min="34" max="34" width="2.5703125" style="9" hidden="1" customWidth="1"/>
    <col min="35" max="39" width="11.5703125" style="9" hidden="1" customWidth="1"/>
    <col min="40" max="40" width="2.5703125" style="9" hidden="1" customWidth="1"/>
    <col min="41" max="51" width="8.7109375" style="27" hidden="1" customWidth="1"/>
    <col min="52" max="52" width="9.85546875" style="27" hidden="1" customWidth="1"/>
    <col min="53" max="53" width="11.28515625" style="11" hidden="1" customWidth="1"/>
    <col min="54" max="63" width="11.28515625" style="9" hidden="1" customWidth="1"/>
    <col min="64" max="64" width="12.28515625" style="9" hidden="1" customWidth="1"/>
    <col min="65" max="81" width="11.28515625" style="9" hidden="1" customWidth="1"/>
    <col min="82" max="82" width="1.5703125" style="11" hidden="1" customWidth="1"/>
    <col min="83" max="83" width="11.7109375" style="1" hidden="1" customWidth="1"/>
    <col min="84" max="84" width="14.28515625" style="1" hidden="1" customWidth="1"/>
    <col min="85" max="85" width="13.7109375" style="1" hidden="1" customWidth="1"/>
    <col min="86" max="86" width="14" style="1" hidden="1" customWidth="1"/>
    <col min="87" max="87" width="4" style="9" hidden="1" customWidth="1"/>
    <col min="88" max="88" width="11.7109375" style="1" hidden="1" customWidth="1"/>
    <col min="89" max="89" width="1.85546875" style="11" hidden="1" customWidth="1"/>
    <col min="90" max="90" width="16.28515625" style="11" hidden="1" customWidth="1"/>
    <col min="91" max="91" width="5.28515625" style="9" hidden="1" customWidth="1"/>
    <col min="92" max="92" width="13.7109375" style="11" hidden="1" customWidth="1"/>
    <col min="93" max="93" width="3.42578125" style="9" hidden="1" customWidth="1"/>
    <col min="94" max="94" width="13.7109375" style="11" hidden="1" customWidth="1"/>
    <col min="95" max="96" width="9.140625" style="9" hidden="1" customWidth="1"/>
    <col min="97" max="16384" width="9.140625" style="9"/>
  </cols>
  <sheetData>
    <row r="1" spans="1:96" ht="28.5" x14ac:dyDescent="0.45">
      <c r="A1" s="16"/>
      <c r="B1" s="381"/>
      <c r="C1" s="382" t="s">
        <v>184</v>
      </c>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c r="BJ1" s="379"/>
      <c r="BK1" s="379"/>
      <c r="BL1" s="379"/>
      <c r="BM1" s="379"/>
      <c r="BN1" s="379"/>
      <c r="BO1" s="379"/>
      <c r="BP1" s="379"/>
      <c r="BQ1" s="379"/>
      <c r="BR1" s="379"/>
      <c r="BS1" s="379"/>
      <c r="BT1" s="379"/>
      <c r="BU1" s="379"/>
      <c r="BV1" s="379"/>
      <c r="BW1" s="379"/>
      <c r="BX1" s="379"/>
      <c r="BY1" s="379"/>
      <c r="BZ1" s="379"/>
      <c r="CA1" s="379"/>
      <c r="CB1" s="379"/>
      <c r="CC1" s="379"/>
      <c r="CD1" s="379"/>
      <c r="CE1" s="379"/>
      <c r="CF1" s="379"/>
      <c r="CG1" s="379"/>
      <c r="CH1" s="379"/>
      <c r="CI1" s="250"/>
      <c r="CJ1" s="251"/>
      <c r="CK1" s="252"/>
      <c r="CL1" s="252"/>
      <c r="CM1" s="250"/>
      <c r="CN1" s="252"/>
      <c r="CO1" s="250"/>
      <c r="CP1" s="252"/>
      <c r="CQ1" s="250"/>
      <c r="CR1" s="253"/>
    </row>
    <row r="2" spans="1:96" ht="27" customHeight="1" x14ac:dyDescent="0.45">
      <c r="A2" s="381" t="s">
        <v>134</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c r="BO2" s="381"/>
      <c r="BP2" s="381"/>
      <c r="BQ2" s="381"/>
      <c r="BR2" s="381"/>
      <c r="BS2" s="381"/>
      <c r="BT2" s="381"/>
      <c r="BU2" s="381"/>
      <c r="BV2" s="381"/>
      <c r="BW2" s="381"/>
      <c r="BX2" s="381"/>
      <c r="BY2" s="381"/>
      <c r="BZ2" s="381"/>
      <c r="CA2" s="381"/>
      <c r="CB2" s="381"/>
      <c r="CC2" s="381"/>
      <c r="CD2" s="381"/>
      <c r="CE2" s="381"/>
      <c r="CF2" s="381"/>
      <c r="CG2" s="381"/>
      <c r="CH2" s="381"/>
      <c r="CI2" s="16"/>
      <c r="CJ2" s="16"/>
      <c r="CK2" s="43"/>
      <c r="CL2" s="43"/>
      <c r="CM2" s="16"/>
      <c r="CN2" s="43"/>
      <c r="CO2" s="16"/>
      <c r="CP2" s="43"/>
      <c r="CQ2" s="16"/>
      <c r="CR2" s="254"/>
    </row>
    <row r="3" spans="1:96" ht="7.15" customHeight="1" thickBot="1" x14ac:dyDescent="0.5">
      <c r="A3" s="380"/>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c r="BC3" s="381"/>
      <c r="BD3" s="381"/>
      <c r="BE3" s="381"/>
      <c r="BF3" s="381"/>
      <c r="BG3" s="381"/>
      <c r="BH3" s="381"/>
      <c r="BI3" s="381"/>
      <c r="BJ3" s="381"/>
      <c r="BK3" s="381"/>
      <c r="BL3" s="381"/>
      <c r="BM3" s="381"/>
      <c r="BN3" s="381"/>
      <c r="BO3" s="381"/>
      <c r="BP3" s="381"/>
      <c r="BQ3" s="381"/>
      <c r="BR3" s="381"/>
      <c r="BS3" s="381"/>
      <c r="BT3" s="381"/>
      <c r="BU3" s="381"/>
      <c r="BV3" s="381"/>
      <c r="BW3" s="381"/>
      <c r="BX3" s="381"/>
      <c r="BY3" s="381"/>
      <c r="BZ3" s="381"/>
      <c r="CA3" s="381"/>
      <c r="CB3" s="381"/>
      <c r="CC3" s="381"/>
      <c r="CD3" s="381"/>
      <c r="CE3" s="381"/>
      <c r="CF3" s="381"/>
      <c r="CG3" s="381"/>
      <c r="CH3" s="381"/>
      <c r="CI3" s="16"/>
      <c r="CJ3" s="255"/>
      <c r="CK3" s="43"/>
      <c r="CL3" s="43"/>
      <c r="CM3" s="16"/>
      <c r="CN3" s="43"/>
      <c r="CO3" s="16"/>
      <c r="CP3" s="43"/>
      <c r="CQ3" s="16"/>
      <c r="CR3" s="254"/>
    </row>
    <row r="4" spans="1:96" ht="29.25" customHeight="1" x14ac:dyDescent="0.25">
      <c r="A4" s="350" t="s">
        <v>138</v>
      </c>
      <c r="B4" s="351"/>
      <c r="C4" s="354" t="s">
        <v>183</v>
      </c>
      <c r="D4" s="256"/>
      <c r="E4" s="347" t="s">
        <v>7</v>
      </c>
      <c r="F4" s="347"/>
      <c r="G4" s="347"/>
      <c r="H4" s="347"/>
      <c r="I4" s="134"/>
      <c r="J4" s="347" t="s">
        <v>12</v>
      </c>
      <c r="K4" s="347"/>
      <c r="L4" s="347"/>
      <c r="M4" s="347"/>
      <c r="N4" s="134"/>
      <c r="O4" s="347" t="s">
        <v>14</v>
      </c>
      <c r="P4" s="347"/>
      <c r="Q4" s="347"/>
      <c r="R4" s="347"/>
      <c r="S4" s="134"/>
      <c r="T4" s="347" t="s">
        <v>15</v>
      </c>
      <c r="U4" s="347"/>
      <c r="V4" s="347"/>
      <c r="W4" s="347"/>
      <c r="X4" s="347" t="s">
        <v>16</v>
      </c>
      <c r="Y4" s="347"/>
      <c r="Z4" s="347"/>
      <c r="AA4" s="347"/>
      <c r="AB4" s="134"/>
      <c r="AC4" s="347" t="s">
        <v>18</v>
      </c>
      <c r="AD4" s="347"/>
      <c r="AE4" s="347"/>
      <c r="AF4" s="347"/>
      <c r="AG4" s="347"/>
      <c r="AH4" s="134"/>
      <c r="AI4" s="347" t="s">
        <v>33</v>
      </c>
      <c r="AJ4" s="347"/>
      <c r="AK4" s="347"/>
      <c r="AL4" s="347"/>
      <c r="AM4" s="347"/>
      <c r="AN4" s="134"/>
      <c r="AO4" s="348" t="s">
        <v>10</v>
      </c>
      <c r="AP4" s="349"/>
      <c r="AQ4" s="349"/>
      <c r="AR4" s="349"/>
      <c r="AS4" s="349"/>
      <c r="AT4" s="349"/>
      <c r="AU4" s="349"/>
      <c r="AV4" s="349"/>
      <c r="AW4" s="349"/>
      <c r="AX4" s="349"/>
      <c r="AY4" s="349"/>
      <c r="AZ4" s="349"/>
      <c r="BA4" s="336" t="s">
        <v>25</v>
      </c>
      <c r="BB4" s="337"/>
      <c r="BC4" s="337"/>
      <c r="BD4" s="337"/>
      <c r="BE4" s="337"/>
      <c r="BF4" s="337"/>
      <c r="BG4" s="337"/>
      <c r="BH4" s="337"/>
      <c r="BI4" s="337"/>
      <c r="BJ4" s="337"/>
      <c r="BK4" s="337"/>
      <c r="BL4" s="338"/>
      <c r="BM4" s="336" t="s">
        <v>26</v>
      </c>
      <c r="BN4" s="337"/>
      <c r="BO4" s="337"/>
      <c r="BP4" s="337"/>
      <c r="BQ4" s="337"/>
      <c r="BR4" s="337"/>
      <c r="BS4" s="337"/>
      <c r="BT4" s="337"/>
      <c r="BU4" s="337"/>
      <c r="BV4" s="337"/>
      <c r="BW4" s="337"/>
      <c r="BX4" s="337"/>
      <c r="BY4" s="337"/>
      <c r="BZ4" s="337"/>
      <c r="CA4" s="337"/>
      <c r="CB4" s="337"/>
      <c r="CC4" s="338"/>
      <c r="CD4" s="12"/>
      <c r="CE4" s="339" t="s">
        <v>27</v>
      </c>
      <c r="CF4" s="339" t="s">
        <v>135</v>
      </c>
      <c r="CG4" s="339" t="s">
        <v>28</v>
      </c>
      <c r="CH4" s="341" t="s">
        <v>11</v>
      </c>
      <c r="CI4" s="16"/>
      <c r="CJ4" s="341" t="s">
        <v>17</v>
      </c>
      <c r="CK4" s="43"/>
      <c r="CL4" s="345" t="s">
        <v>13</v>
      </c>
      <c r="CM4" s="16"/>
      <c r="CN4" s="334" t="s">
        <v>24</v>
      </c>
      <c r="CO4" s="16"/>
      <c r="CP4" s="334" t="s">
        <v>20</v>
      </c>
      <c r="CQ4" s="16"/>
      <c r="CR4" s="254"/>
    </row>
    <row r="5" spans="1:96" ht="38.450000000000003" customHeight="1" thickBot="1" x14ac:dyDescent="0.3">
      <c r="A5" s="352"/>
      <c r="B5" s="353"/>
      <c r="C5" s="355"/>
      <c r="D5" s="257" t="s">
        <v>9</v>
      </c>
      <c r="E5" s="91" t="s">
        <v>8</v>
      </c>
      <c r="F5" s="92" t="s">
        <v>0</v>
      </c>
      <c r="G5" s="93" t="s">
        <v>1</v>
      </c>
      <c r="H5" s="93" t="s">
        <v>6</v>
      </c>
      <c r="I5" s="135"/>
      <c r="J5" s="91" t="s">
        <v>8</v>
      </c>
      <c r="K5" s="92" t="s">
        <v>0</v>
      </c>
      <c r="L5" s="93" t="s">
        <v>1</v>
      </c>
      <c r="M5" s="93" t="s">
        <v>6</v>
      </c>
      <c r="N5" s="135"/>
      <c r="O5" s="91" t="s">
        <v>8</v>
      </c>
      <c r="P5" s="92" t="s">
        <v>0</v>
      </c>
      <c r="Q5" s="93" t="s">
        <v>1</v>
      </c>
      <c r="R5" s="93" t="s">
        <v>6</v>
      </c>
      <c r="S5" s="135"/>
      <c r="T5" s="91" t="s">
        <v>8</v>
      </c>
      <c r="U5" s="92" t="s">
        <v>0</v>
      </c>
      <c r="V5" s="93" t="s">
        <v>1</v>
      </c>
      <c r="W5" s="93" t="s">
        <v>6</v>
      </c>
      <c r="X5" s="91" t="s">
        <v>8</v>
      </c>
      <c r="Y5" s="92" t="s">
        <v>0</v>
      </c>
      <c r="Z5" s="93" t="s">
        <v>1</v>
      </c>
      <c r="AA5" s="93" t="s">
        <v>6</v>
      </c>
      <c r="AB5" s="135"/>
      <c r="AC5" s="91" t="s">
        <v>8</v>
      </c>
      <c r="AD5" s="92" t="s">
        <v>0</v>
      </c>
      <c r="AE5" s="93" t="s">
        <v>1</v>
      </c>
      <c r="AF5" s="93" t="s">
        <v>6</v>
      </c>
      <c r="AG5" s="93" t="s">
        <v>19</v>
      </c>
      <c r="AH5" s="135"/>
      <c r="AI5" s="91" t="s">
        <v>8</v>
      </c>
      <c r="AJ5" s="92" t="s">
        <v>29</v>
      </c>
      <c r="AK5" s="93" t="s">
        <v>30</v>
      </c>
      <c r="AL5" s="93" t="s">
        <v>31</v>
      </c>
      <c r="AM5" s="93" t="s">
        <v>19</v>
      </c>
      <c r="AN5" s="135"/>
      <c r="AO5" s="70">
        <v>43191</v>
      </c>
      <c r="AP5" s="70">
        <v>43221</v>
      </c>
      <c r="AQ5" s="70">
        <v>43252</v>
      </c>
      <c r="AR5" s="70">
        <v>43282</v>
      </c>
      <c r="AS5" s="70">
        <v>43313</v>
      </c>
      <c r="AT5" s="70">
        <v>43344</v>
      </c>
      <c r="AU5" s="70">
        <v>43374</v>
      </c>
      <c r="AV5" s="70">
        <v>43405</v>
      </c>
      <c r="AW5" s="70">
        <v>43435</v>
      </c>
      <c r="AX5" s="70">
        <v>43466</v>
      </c>
      <c r="AY5" s="70">
        <v>43497</v>
      </c>
      <c r="AZ5" s="120">
        <v>43525</v>
      </c>
      <c r="BA5" s="71">
        <v>43922</v>
      </c>
      <c r="BB5" s="71">
        <v>43952</v>
      </c>
      <c r="BC5" s="71">
        <v>43983</v>
      </c>
      <c r="BD5" s="71">
        <v>44013</v>
      </c>
      <c r="BE5" s="71">
        <v>44044</v>
      </c>
      <c r="BF5" s="71">
        <v>44075</v>
      </c>
      <c r="BG5" s="71">
        <v>44105</v>
      </c>
      <c r="BH5" s="71">
        <v>44136</v>
      </c>
      <c r="BI5" s="71">
        <v>44166</v>
      </c>
      <c r="BJ5" s="71">
        <v>45292</v>
      </c>
      <c r="BK5" s="71">
        <v>45323</v>
      </c>
      <c r="BL5" s="72">
        <v>45352</v>
      </c>
      <c r="BM5" s="71">
        <v>45383</v>
      </c>
      <c r="BN5" s="71">
        <v>45413</v>
      </c>
      <c r="BO5" s="71">
        <v>45444</v>
      </c>
      <c r="BP5" s="71">
        <v>45474</v>
      </c>
      <c r="BQ5" s="71">
        <v>45505</v>
      </c>
      <c r="BR5" s="71">
        <v>45536</v>
      </c>
      <c r="BS5" s="71">
        <v>45566</v>
      </c>
      <c r="BT5" s="71"/>
      <c r="BU5" s="71"/>
      <c r="BV5" s="71"/>
      <c r="BW5" s="71"/>
      <c r="BX5" s="71"/>
      <c r="BY5" s="71">
        <v>45597</v>
      </c>
      <c r="BZ5" s="71">
        <v>45627</v>
      </c>
      <c r="CA5" s="71">
        <v>45658</v>
      </c>
      <c r="CB5" s="71">
        <v>45689</v>
      </c>
      <c r="CC5" s="71">
        <v>45717</v>
      </c>
      <c r="CD5" s="13"/>
      <c r="CE5" s="340"/>
      <c r="CF5" s="340"/>
      <c r="CG5" s="340"/>
      <c r="CH5" s="342"/>
      <c r="CI5" s="16"/>
      <c r="CJ5" s="342"/>
      <c r="CK5" s="43"/>
      <c r="CL5" s="346"/>
      <c r="CM5" s="16"/>
      <c r="CN5" s="335"/>
      <c r="CO5" s="16"/>
      <c r="CP5" s="335"/>
      <c r="CQ5" s="16"/>
      <c r="CR5" s="254"/>
    </row>
    <row r="6" spans="1:96" x14ac:dyDescent="0.25">
      <c r="A6" s="258" t="s">
        <v>2</v>
      </c>
      <c r="B6" s="259"/>
      <c r="C6" s="184"/>
      <c r="D6" s="260"/>
      <c r="E6" s="14"/>
      <c r="F6" s="44"/>
      <c r="G6" s="44"/>
      <c r="H6" s="35"/>
      <c r="I6" s="44"/>
      <c r="J6" s="14"/>
      <c r="K6" s="44"/>
      <c r="L6" s="44"/>
      <c r="M6" s="35"/>
      <c r="N6" s="44"/>
      <c r="O6" s="14"/>
      <c r="P6" s="44"/>
      <c r="Q6" s="44"/>
      <c r="R6" s="35"/>
      <c r="S6" s="52"/>
      <c r="T6" s="14"/>
      <c r="U6" s="44"/>
      <c r="V6" s="44"/>
      <c r="W6" s="35"/>
      <c r="X6" s="14"/>
      <c r="Y6" s="44"/>
      <c r="Z6" s="44"/>
      <c r="AA6" s="35"/>
      <c r="AB6" s="44"/>
      <c r="AC6" s="14"/>
      <c r="AD6" s="44"/>
      <c r="AE6" s="44"/>
      <c r="AF6" s="35"/>
      <c r="AG6" s="35"/>
      <c r="AH6" s="44"/>
      <c r="AI6" s="14"/>
      <c r="AJ6" s="38"/>
      <c r="AK6" s="38"/>
      <c r="AL6" s="38"/>
      <c r="AM6" s="35"/>
      <c r="AN6" s="44"/>
      <c r="AO6" s="38"/>
      <c r="AP6" s="38"/>
      <c r="AQ6" s="38"/>
      <c r="AR6" s="38"/>
      <c r="AS6" s="38"/>
      <c r="AT6" s="38"/>
      <c r="AU6" s="38"/>
      <c r="AV6" s="38"/>
      <c r="AW6" s="38"/>
      <c r="AX6" s="38"/>
      <c r="AY6" s="38"/>
      <c r="AZ6" s="112"/>
      <c r="BA6" s="54"/>
      <c r="BB6" s="43"/>
      <c r="BC6" s="43"/>
      <c r="BD6" s="43"/>
      <c r="BE6" s="43"/>
      <c r="BF6" s="43"/>
      <c r="BG6" s="152"/>
      <c r="BH6" s="43"/>
      <c r="BI6" s="43"/>
      <c r="BJ6" s="43"/>
      <c r="BK6" s="43"/>
      <c r="BL6" s="174"/>
      <c r="BM6" s="55"/>
      <c r="BN6" s="15"/>
      <c r="BO6" s="15"/>
      <c r="BP6" s="15"/>
      <c r="BQ6" s="15"/>
      <c r="BR6" s="15"/>
      <c r="BS6" s="15"/>
      <c r="BT6" s="15"/>
      <c r="BU6" s="15"/>
      <c r="BV6" s="15"/>
      <c r="BW6" s="15"/>
      <c r="BX6" s="15"/>
      <c r="BY6" s="15"/>
      <c r="BZ6" s="15"/>
      <c r="CA6" s="56"/>
      <c r="CB6" s="56"/>
      <c r="CC6" s="57"/>
      <c r="CD6" s="3"/>
      <c r="CE6" s="17"/>
      <c r="CF6" s="18"/>
      <c r="CG6" s="73"/>
      <c r="CH6" s="73"/>
      <c r="CI6" s="16"/>
      <c r="CJ6" s="73"/>
      <c r="CK6" s="43"/>
      <c r="CL6" s="137"/>
      <c r="CM6" s="16"/>
      <c r="CN6" s="137"/>
      <c r="CO6" s="16"/>
      <c r="CP6" s="137"/>
      <c r="CQ6" s="16"/>
      <c r="CR6" s="254"/>
    </row>
    <row r="7" spans="1:96" x14ac:dyDescent="0.25">
      <c r="A7" s="261" t="s">
        <v>57</v>
      </c>
      <c r="B7" s="44"/>
      <c r="C7" s="245">
        <f>'Centrica CSA'!B43</f>
        <v>16555183.720000001</v>
      </c>
      <c r="D7" s="260"/>
      <c r="E7" s="29">
        <f>SUM(F7:H7)</f>
        <v>11902304</v>
      </c>
      <c r="F7" s="29"/>
      <c r="G7" s="29">
        <f>11692339+209965</f>
        <v>11902304</v>
      </c>
      <c r="H7" s="29"/>
      <c r="I7" s="130"/>
      <c r="J7" s="31">
        <v>12038060</v>
      </c>
      <c r="K7" s="31">
        <v>579283</v>
      </c>
      <c r="L7" s="31">
        <v>11458777</v>
      </c>
      <c r="M7" s="29"/>
      <c r="N7" s="130"/>
      <c r="O7" s="31">
        <f>SUM(P7:R7)</f>
        <v>12034581</v>
      </c>
      <c r="P7" s="31">
        <v>579283</v>
      </c>
      <c r="Q7" s="31">
        <f>11692339+342242-579283</f>
        <v>11455298</v>
      </c>
      <c r="R7" s="29"/>
      <c r="S7" s="132"/>
      <c r="T7" s="31">
        <f>SUM(U7:W7)</f>
        <v>12034581</v>
      </c>
      <c r="U7" s="31">
        <v>579283</v>
      </c>
      <c r="V7" s="31">
        <f>11692339+342242-579283</f>
        <v>11455298</v>
      </c>
      <c r="W7" s="29"/>
      <c r="X7" s="31">
        <f>SUM(Y7:AA7)</f>
        <v>12594581</v>
      </c>
      <c r="Y7" s="31">
        <v>579283</v>
      </c>
      <c r="Z7" s="31">
        <f>11692339+342242-579283+560000</f>
        <v>12015298</v>
      </c>
      <c r="AA7" s="29"/>
      <c r="AB7" s="130"/>
      <c r="AC7" s="31">
        <f>12992548-325000</f>
        <v>12667548</v>
      </c>
      <c r="AD7" s="31">
        <f>SUM(AO7:AZ7)</f>
        <v>0</v>
      </c>
      <c r="AE7" s="31">
        <f>SUM(BA7:BL7)</f>
        <v>0</v>
      </c>
      <c r="AF7" s="29">
        <f>SUM(BM7:CC7)</f>
        <v>0</v>
      </c>
      <c r="AG7" s="29"/>
      <c r="AH7" s="130"/>
      <c r="AI7" s="31">
        <v>0</v>
      </c>
      <c r="AJ7" s="97">
        <v>0</v>
      </c>
      <c r="AK7" s="97">
        <v>0</v>
      </c>
      <c r="AL7" s="97">
        <f t="shared" ref="AL7:AL10" si="0">SUM(BM7:CC7)</f>
        <v>0</v>
      </c>
      <c r="AM7" s="169">
        <f>AI7-SUM(AJ7:AL7)</f>
        <v>0</v>
      </c>
      <c r="AN7" s="130"/>
      <c r="AO7" s="38"/>
      <c r="AP7" s="38"/>
      <c r="AQ7" s="38"/>
      <c r="AR7" s="38"/>
      <c r="AS7" s="38"/>
      <c r="AT7" s="38"/>
      <c r="AU7" s="38"/>
      <c r="AV7" s="38"/>
      <c r="AW7" s="38"/>
      <c r="AX7" s="38"/>
      <c r="AY7" s="38"/>
      <c r="AZ7" s="112">
        <v>0</v>
      </c>
      <c r="BA7" s="61">
        <v>0</v>
      </c>
      <c r="BB7" s="125">
        <v>0</v>
      </c>
      <c r="BC7" s="125">
        <v>0</v>
      </c>
      <c r="BD7" s="125">
        <v>0</v>
      </c>
      <c r="BE7" s="125">
        <v>0</v>
      </c>
      <c r="BF7" s="125">
        <v>0</v>
      </c>
      <c r="BG7" s="125">
        <v>0</v>
      </c>
      <c r="BH7" s="125">
        <v>0</v>
      </c>
      <c r="BI7" s="125">
        <v>0</v>
      </c>
      <c r="BJ7" s="125">
        <v>0</v>
      </c>
      <c r="BK7" s="125">
        <v>0</v>
      </c>
      <c r="BL7" s="170">
        <v>0</v>
      </c>
      <c r="BM7" s="143">
        <v>0</v>
      </c>
      <c r="BN7" s="86">
        <v>0</v>
      </c>
      <c r="BO7" s="86">
        <v>0</v>
      </c>
      <c r="BP7" s="86">
        <v>0</v>
      </c>
      <c r="BQ7" s="86">
        <v>0</v>
      </c>
      <c r="BR7" s="86">
        <v>0</v>
      </c>
      <c r="BS7" s="86">
        <v>0</v>
      </c>
      <c r="BT7" s="86"/>
      <c r="BU7" s="86"/>
      <c r="BV7" s="86"/>
      <c r="BW7" s="86"/>
      <c r="BX7" s="86"/>
      <c r="BY7" s="86">
        <v>0</v>
      </c>
      <c r="BZ7" s="86">
        <v>0</v>
      </c>
      <c r="CA7" s="87">
        <v>0</v>
      </c>
      <c r="CB7" s="87">
        <v>0</v>
      </c>
      <c r="CC7" s="156"/>
      <c r="CD7" s="3"/>
      <c r="CE7" s="85">
        <f>SUM(AO7:AZ7)</f>
        <v>0</v>
      </c>
      <c r="CF7" s="78">
        <f>SUM(BA7:BL7)</f>
        <v>0</v>
      </c>
      <c r="CG7" s="78">
        <f>SUM(BM7:CC7)</f>
        <v>0</v>
      </c>
      <c r="CH7" s="78">
        <f>CE7+CF7+CG7</f>
        <v>0</v>
      </c>
      <c r="CI7" s="16"/>
      <c r="CJ7" s="77">
        <f>CH7-AC7</f>
        <v>-12667548</v>
      </c>
      <c r="CK7" s="43"/>
      <c r="CL7" s="138">
        <f>CH7-C7</f>
        <v>-16555183.720000001</v>
      </c>
      <c r="CM7" s="16"/>
      <c r="CN7" s="165">
        <v>12601322</v>
      </c>
      <c r="CO7" s="16"/>
      <c r="CP7" s="138">
        <f>CH7-CN7</f>
        <v>-12601322</v>
      </c>
      <c r="CQ7" s="16"/>
      <c r="CR7" s="254"/>
    </row>
    <row r="8" spans="1:96" ht="30" hidden="1" x14ac:dyDescent="0.25">
      <c r="A8" s="262" t="s">
        <v>34</v>
      </c>
      <c r="B8" s="44"/>
      <c r="C8" s="245">
        <v>0</v>
      </c>
      <c r="D8" s="260"/>
      <c r="E8" s="29"/>
      <c r="F8" s="122"/>
      <c r="G8" s="122"/>
      <c r="H8" s="122"/>
      <c r="I8" s="130"/>
      <c r="J8" s="31"/>
      <c r="K8" s="123"/>
      <c r="L8" s="123"/>
      <c r="M8" s="122"/>
      <c r="N8" s="130"/>
      <c r="O8" s="31"/>
      <c r="P8" s="123"/>
      <c r="Q8" s="123"/>
      <c r="R8" s="122"/>
      <c r="S8" s="132"/>
      <c r="T8" s="31"/>
      <c r="U8" s="123"/>
      <c r="V8" s="123"/>
      <c r="W8" s="122"/>
      <c r="X8" s="31"/>
      <c r="Y8" s="123"/>
      <c r="Z8" s="123"/>
      <c r="AA8" s="122"/>
      <c r="AB8" s="130"/>
      <c r="AC8" s="31"/>
      <c r="AD8" s="31"/>
      <c r="AE8" s="31"/>
      <c r="AF8" s="29"/>
      <c r="AG8" s="29"/>
      <c r="AH8" s="130"/>
      <c r="AI8" s="31"/>
      <c r="AJ8" s="97"/>
      <c r="AK8" s="97"/>
      <c r="AL8" s="97"/>
      <c r="AM8" s="169"/>
      <c r="AN8" s="130"/>
      <c r="AO8" s="38"/>
      <c r="AP8" s="38"/>
      <c r="AQ8" s="38"/>
      <c r="AR8" s="38"/>
      <c r="AS8" s="38"/>
      <c r="AT8" s="38"/>
      <c r="AU8" s="38"/>
      <c r="AV8" s="38"/>
      <c r="AW8" s="38"/>
      <c r="AX8" s="38"/>
      <c r="AY8" s="38"/>
      <c r="AZ8" s="112"/>
      <c r="BA8" s="61"/>
      <c r="BB8" s="125"/>
      <c r="BC8" s="125"/>
      <c r="BD8" s="125"/>
      <c r="BE8" s="125"/>
      <c r="BF8" s="125"/>
      <c r="BG8" s="125"/>
      <c r="BH8" s="125"/>
      <c r="BI8" s="125"/>
      <c r="BJ8" s="125"/>
      <c r="BK8" s="125"/>
      <c r="BL8" s="170"/>
      <c r="BM8" s="143"/>
      <c r="BN8" s="86"/>
      <c r="BO8" s="86"/>
      <c r="BP8" s="86"/>
      <c r="BQ8" s="86"/>
      <c r="BR8" s="86"/>
      <c r="BS8" s="86"/>
      <c r="BT8" s="86"/>
      <c r="BU8" s="86"/>
      <c r="BV8" s="86"/>
      <c r="BW8" s="86"/>
      <c r="BX8" s="86"/>
      <c r="BY8" s="86"/>
      <c r="BZ8" s="86"/>
      <c r="CA8" s="87"/>
      <c r="CB8" s="87"/>
      <c r="CC8" s="156"/>
      <c r="CD8" s="3"/>
      <c r="CE8" s="85"/>
      <c r="CF8" s="78"/>
      <c r="CG8" s="78"/>
      <c r="CH8" s="78"/>
      <c r="CI8" s="16"/>
      <c r="CJ8" s="77"/>
      <c r="CK8" s="43"/>
      <c r="CL8" s="138"/>
      <c r="CM8" s="16"/>
      <c r="CN8" s="165"/>
      <c r="CO8" s="16"/>
      <c r="CP8" s="138"/>
      <c r="CQ8" s="16"/>
      <c r="CR8" s="254"/>
    </row>
    <row r="9" spans="1:96" hidden="1" x14ac:dyDescent="0.25">
      <c r="A9" s="263" t="s">
        <v>59</v>
      </c>
      <c r="B9" s="44"/>
      <c r="C9" s="245">
        <v>0</v>
      </c>
      <c r="D9" s="260"/>
      <c r="E9" s="29">
        <f>SUM(F9:H9)</f>
        <v>1638106</v>
      </c>
      <c r="F9" s="122"/>
      <c r="G9" s="122">
        <v>1638106</v>
      </c>
      <c r="H9" s="122"/>
      <c r="I9" s="130"/>
      <c r="J9" s="29">
        <v>1638106</v>
      </c>
      <c r="K9" s="122"/>
      <c r="L9" s="122">
        <v>1488164</v>
      </c>
      <c r="M9" s="122">
        <v>149942</v>
      </c>
      <c r="N9" s="130"/>
      <c r="O9" s="29">
        <f>SUM(P9:R9)</f>
        <v>1638106</v>
      </c>
      <c r="P9" s="122"/>
      <c r="Q9" s="122">
        <v>1488164</v>
      </c>
      <c r="R9" s="122">
        <v>149942</v>
      </c>
      <c r="S9" s="132"/>
      <c r="T9" s="29">
        <f>SUM(U9:W9)</f>
        <v>1638106</v>
      </c>
      <c r="U9" s="122"/>
      <c r="V9" s="122">
        <v>1488164</v>
      </c>
      <c r="W9" s="122">
        <v>149942</v>
      </c>
      <c r="X9" s="29">
        <f>SUM(Y9:AA9)</f>
        <v>1638106</v>
      </c>
      <c r="Y9" s="122"/>
      <c r="Z9" s="122">
        <v>1488164</v>
      </c>
      <c r="AA9" s="122">
        <v>149942</v>
      </c>
      <c r="AB9" s="130"/>
      <c r="AC9" s="29">
        <f>1638106-793164</f>
        <v>844942</v>
      </c>
      <c r="AD9" s="31">
        <f>SUM(AO9:AZ9)</f>
        <v>0</v>
      </c>
      <c r="AE9" s="31">
        <f>SUM(BA9:BL9)</f>
        <v>0</v>
      </c>
      <c r="AF9" s="29">
        <f>SUM(BM9:CC9)</f>
        <v>0</v>
      </c>
      <c r="AG9" s="29"/>
      <c r="AH9" s="130"/>
      <c r="AI9" s="29">
        <v>0</v>
      </c>
      <c r="AJ9" s="97">
        <f t="shared" ref="AJ9:AJ10" si="1">SUM(AO9:AZ9)</f>
        <v>0</v>
      </c>
      <c r="AK9" s="97">
        <f t="shared" ref="AK9:AK10" si="2">SUM(BA9:BL9)</f>
        <v>0</v>
      </c>
      <c r="AL9" s="97">
        <f t="shared" si="0"/>
        <v>0</v>
      </c>
      <c r="AM9" s="169">
        <f t="shared" ref="AM9:AM10" si="3">AI9-SUM(AJ9:AL9)</f>
        <v>0</v>
      </c>
      <c r="AN9" s="130"/>
      <c r="AO9" s="38"/>
      <c r="AP9" s="38"/>
      <c r="AQ9" s="38"/>
      <c r="AR9" s="38"/>
      <c r="AS9" s="38"/>
      <c r="AT9" s="38"/>
      <c r="AU9" s="38"/>
      <c r="AV9" s="38"/>
      <c r="AW9" s="38"/>
      <c r="AX9" s="38"/>
      <c r="AY9" s="38"/>
      <c r="AZ9" s="112"/>
      <c r="BA9" s="61"/>
      <c r="BB9" s="125"/>
      <c r="BC9" s="127"/>
      <c r="BD9" s="125"/>
      <c r="BE9" s="125"/>
      <c r="BF9" s="125">
        <v>0</v>
      </c>
      <c r="BG9" s="153"/>
      <c r="BH9" s="125">
        <v>0</v>
      </c>
      <c r="BI9" s="125">
        <v>0</v>
      </c>
      <c r="BJ9" s="125">
        <v>0</v>
      </c>
      <c r="BK9" s="125">
        <v>0</v>
      </c>
      <c r="BL9" s="170">
        <v>0</v>
      </c>
      <c r="BM9" s="143">
        <v>0</v>
      </c>
      <c r="BN9" s="86">
        <v>0</v>
      </c>
      <c r="BO9" s="86">
        <v>0</v>
      </c>
      <c r="BP9" s="86">
        <v>0</v>
      </c>
      <c r="BQ9" s="86">
        <v>0</v>
      </c>
      <c r="BR9" s="86">
        <v>0</v>
      </c>
      <c r="BS9" s="86">
        <v>0</v>
      </c>
      <c r="BT9" s="86"/>
      <c r="BU9" s="86"/>
      <c r="BV9" s="86"/>
      <c r="BW9" s="86"/>
      <c r="BX9" s="86"/>
      <c r="BY9" s="86">
        <v>0</v>
      </c>
      <c r="BZ9" s="86"/>
      <c r="CA9" s="87"/>
      <c r="CB9" s="87"/>
      <c r="CC9" s="84"/>
      <c r="CD9" s="3"/>
      <c r="CE9" s="85">
        <f>SUM(AO9:AZ9)</f>
        <v>0</v>
      </c>
      <c r="CF9" s="78">
        <f>SUM(BA9:BL9)</f>
        <v>0</v>
      </c>
      <c r="CG9" s="78">
        <f>SUM(BM9:CC9)</f>
        <v>0</v>
      </c>
      <c r="CH9" s="78">
        <f>CE9+CF9+CG9</f>
        <v>0</v>
      </c>
      <c r="CI9" s="16"/>
      <c r="CJ9" s="77">
        <f>CH9-AC9</f>
        <v>-844942</v>
      </c>
      <c r="CK9" s="43"/>
      <c r="CL9" s="138">
        <f>CH9-C9</f>
        <v>0</v>
      </c>
      <c r="CM9" s="16"/>
      <c r="CN9" s="165">
        <v>844942</v>
      </c>
      <c r="CO9" s="16"/>
      <c r="CP9" s="138">
        <f>CH9-CN9</f>
        <v>-844942</v>
      </c>
      <c r="CQ9" s="16"/>
      <c r="CR9" s="254"/>
    </row>
    <row r="10" spans="1:96" hidden="1" x14ac:dyDescent="0.25">
      <c r="A10" s="261" t="s">
        <v>68</v>
      </c>
      <c r="B10" s="44"/>
      <c r="C10" s="245">
        <v>0</v>
      </c>
      <c r="D10" s="260"/>
      <c r="E10" s="122"/>
      <c r="F10" s="122"/>
      <c r="G10" s="122"/>
      <c r="H10" s="122"/>
      <c r="I10" s="130"/>
      <c r="J10" s="122"/>
      <c r="K10" s="122"/>
      <c r="L10" s="122"/>
      <c r="M10" s="122"/>
      <c r="N10" s="130"/>
      <c r="O10" s="122"/>
      <c r="P10" s="122"/>
      <c r="Q10" s="122"/>
      <c r="R10" s="122"/>
      <c r="S10" s="132"/>
      <c r="T10" s="122"/>
      <c r="U10" s="122"/>
      <c r="V10" s="122"/>
      <c r="W10" s="122"/>
      <c r="X10" s="122"/>
      <c r="Y10" s="122"/>
      <c r="Z10" s="122"/>
      <c r="AA10" s="122"/>
      <c r="AB10" s="130"/>
      <c r="AC10" s="122"/>
      <c r="AD10" s="123"/>
      <c r="AE10" s="123"/>
      <c r="AF10" s="122"/>
      <c r="AG10" s="122"/>
      <c r="AH10" s="130"/>
      <c r="AI10" s="122">
        <v>0</v>
      </c>
      <c r="AJ10" s="97">
        <f t="shared" si="1"/>
        <v>0</v>
      </c>
      <c r="AK10" s="97">
        <f t="shared" si="2"/>
        <v>0</v>
      </c>
      <c r="AL10" s="97">
        <f t="shared" si="0"/>
        <v>0</v>
      </c>
      <c r="AM10" s="169">
        <f t="shared" si="3"/>
        <v>0</v>
      </c>
      <c r="AN10" s="130"/>
      <c r="AO10" s="38"/>
      <c r="AP10" s="38"/>
      <c r="AQ10" s="38"/>
      <c r="AR10" s="38"/>
      <c r="AS10" s="38"/>
      <c r="AT10" s="38"/>
      <c r="AU10" s="38"/>
      <c r="AV10" s="38"/>
      <c r="AW10" s="38"/>
      <c r="AX10" s="38"/>
      <c r="AY10" s="38"/>
      <c r="AZ10" s="112"/>
      <c r="BA10" s="61"/>
      <c r="BB10" s="125"/>
      <c r="BC10" s="127"/>
      <c r="BD10" s="125"/>
      <c r="BE10" s="125"/>
      <c r="BF10" s="125"/>
      <c r="BG10" s="153"/>
      <c r="BH10" s="125"/>
      <c r="BI10" s="125"/>
      <c r="BJ10" s="125"/>
      <c r="BK10" s="125"/>
      <c r="BL10" s="170">
        <v>0</v>
      </c>
      <c r="BM10" s="145">
        <v>0</v>
      </c>
      <c r="BN10" s="62">
        <v>0</v>
      </c>
      <c r="BO10" s="62">
        <v>0</v>
      </c>
      <c r="BP10" s="62">
        <v>0</v>
      </c>
      <c r="BQ10" s="62">
        <v>0</v>
      </c>
      <c r="BR10" s="62">
        <v>0</v>
      </c>
      <c r="BS10" s="86">
        <v>0</v>
      </c>
      <c r="BT10" s="86"/>
      <c r="BU10" s="86"/>
      <c r="BV10" s="86"/>
      <c r="BW10" s="86"/>
      <c r="BX10" s="86"/>
      <c r="BY10" s="86">
        <v>0</v>
      </c>
      <c r="BZ10" s="86">
        <v>0</v>
      </c>
      <c r="CA10" s="87">
        <v>0</v>
      </c>
      <c r="CB10" s="87">
        <v>0</v>
      </c>
      <c r="CC10" s="84">
        <v>0</v>
      </c>
      <c r="CD10" s="3"/>
      <c r="CE10" s="85">
        <f>SUM(AO10:AZ10)</f>
        <v>0</v>
      </c>
      <c r="CF10" s="78">
        <f>SUM(BA10:BL10)</f>
        <v>0</v>
      </c>
      <c r="CG10" s="78">
        <f>SUM(BM10:CC10)</f>
        <v>0</v>
      </c>
      <c r="CH10" s="78">
        <f>CE10+CF10+CG10</f>
        <v>0</v>
      </c>
      <c r="CI10" s="16"/>
      <c r="CJ10" s="77"/>
      <c r="CK10" s="43"/>
      <c r="CL10" s="138">
        <f>CH10-C10</f>
        <v>0</v>
      </c>
      <c r="CM10" s="16"/>
      <c r="CN10" s="165">
        <v>1171875</v>
      </c>
      <c r="CO10" s="16"/>
      <c r="CP10" s="138">
        <f>CH10-CN10</f>
        <v>-1171875</v>
      </c>
      <c r="CQ10" s="16"/>
      <c r="CR10" s="254"/>
    </row>
    <row r="11" spans="1:96" x14ac:dyDescent="0.25">
      <c r="A11" s="258" t="s">
        <v>3</v>
      </c>
      <c r="B11" s="259"/>
      <c r="C11" s="246">
        <f>SUM(C7:C10)</f>
        <v>16555183.720000001</v>
      </c>
      <c r="D11" s="238" t="e">
        <f>SUM(#REF!)</f>
        <v>#REF!</v>
      </c>
      <c r="E11" s="94">
        <f>SUM(E7:E9)</f>
        <v>13540410</v>
      </c>
      <c r="F11" s="94">
        <f>SUM(F7:F9)</f>
        <v>0</v>
      </c>
      <c r="G11" s="94">
        <f>SUM(G7:G9)</f>
        <v>13540410</v>
      </c>
      <c r="H11" s="94">
        <f>SUM(H7:H9)</f>
        <v>0</v>
      </c>
      <c r="I11" s="131"/>
      <c r="J11" s="94">
        <f>SUM(J7:J9)</f>
        <v>13676166</v>
      </c>
      <c r="K11" s="94">
        <f>SUM(K7:K9)</f>
        <v>579283</v>
      </c>
      <c r="L11" s="94">
        <f>SUM(L7:L9)</f>
        <v>12946941</v>
      </c>
      <c r="M11" s="94">
        <f>SUM(M7:M9)</f>
        <v>149942</v>
      </c>
      <c r="N11" s="131"/>
      <c r="O11" s="94">
        <f>SUM(O7:O9)</f>
        <v>13672687</v>
      </c>
      <c r="P11" s="94">
        <f>SUM(P7:P9)</f>
        <v>579283</v>
      </c>
      <c r="Q11" s="94">
        <f>SUM(Q7:Q9)</f>
        <v>12943462</v>
      </c>
      <c r="R11" s="94">
        <f>SUM(R7:R9)</f>
        <v>149942</v>
      </c>
      <c r="S11" s="151"/>
      <c r="T11" s="94">
        <f t="shared" ref="T11:AA11" si="4">SUM(T7:T9)</f>
        <v>13672687</v>
      </c>
      <c r="U11" s="94">
        <f t="shared" si="4"/>
        <v>579283</v>
      </c>
      <c r="V11" s="94">
        <f t="shared" si="4"/>
        <v>12943462</v>
      </c>
      <c r="W11" s="94">
        <f t="shared" si="4"/>
        <v>149942</v>
      </c>
      <c r="X11" s="94">
        <f t="shared" si="4"/>
        <v>14232687</v>
      </c>
      <c r="Y11" s="94">
        <f t="shared" si="4"/>
        <v>579283</v>
      </c>
      <c r="Z11" s="94">
        <f t="shared" si="4"/>
        <v>13503462</v>
      </c>
      <c r="AA11" s="94">
        <f t="shared" si="4"/>
        <v>149942</v>
      </c>
      <c r="AB11" s="131"/>
      <c r="AC11" s="94">
        <f t="shared" ref="AC11:AG11" si="5">SUM(AC7:AC10)</f>
        <v>13512490</v>
      </c>
      <c r="AD11" s="94">
        <f t="shared" si="5"/>
        <v>0</v>
      </c>
      <c r="AE11" s="94">
        <f t="shared" si="5"/>
        <v>0</v>
      </c>
      <c r="AF11" s="94">
        <f t="shared" si="5"/>
        <v>0</v>
      </c>
      <c r="AG11" s="94">
        <f t="shared" si="5"/>
        <v>0</v>
      </c>
      <c r="AH11" s="131"/>
      <c r="AI11" s="94">
        <f>AI10</f>
        <v>0</v>
      </c>
      <c r="AJ11" s="94">
        <f t="shared" ref="AJ11:AM11" si="6">SUM(AJ7:AJ10)</f>
        <v>0</v>
      </c>
      <c r="AK11" s="94">
        <f t="shared" si="6"/>
        <v>0</v>
      </c>
      <c r="AL11" s="94">
        <f t="shared" si="6"/>
        <v>0</v>
      </c>
      <c r="AM11" s="94">
        <f t="shared" si="6"/>
        <v>0</v>
      </c>
      <c r="AN11" s="131"/>
      <c r="AO11" s="46">
        <f t="shared" ref="AO11:CC11" si="7">SUM(AO7:AO10)</f>
        <v>0</v>
      </c>
      <c r="AP11" s="46">
        <f t="shared" si="7"/>
        <v>0</v>
      </c>
      <c r="AQ11" s="46">
        <f t="shared" si="7"/>
        <v>0</v>
      </c>
      <c r="AR11" s="46">
        <f t="shared" si="7"/>
        <v>0</v>
      </c>
      <c r="AS11" s="46">
        <f t="shared" si="7"/>
        <v>0</v>
      </c>
      <c r="AT11" s="47">
        <f t="shared" si="7"/>
        <v>0</v>
      </c>
      <c r="AU11" s="47">
        <f t="shared" si="7"/>
        <v>0</v>
      </c>
      <c r="AV11" s="46">
        <f t="shared" si="7"/>
        <v>0</v>
      </c>
      <c r="AW11" s="46">
        <f t="shared" si="7"/>
        <v>0</v>
      </c>
      <c r="AX11" s="46">
        <f t="shared" si="7"/>
        <v>0</v>
      </c>
      <c r="AY11" s="46">
        <f t="shared" si="7"/>
        <v>0</v>
      </c>
      <c r="AZ11" s="48">
        <f t="shared" si="7"/>
        <v>0</v>
      </c>
      <c r="BA11" s="65">
        <f t="shared" si="7"/>
        <v>0</v>
      </c>
      <c r="BB11" s="47">
        <f t="shared" si="7"/>
        <v>0</v>
      </c>
      <c r="BC11" s="47">
        <f t="shared" si="7"/>
        <v>0</v>
      </c>
      <c r="BD11" s="47">
        <f t="shared" si="7"/>
        <v>0</v>
      </c>
      <c r="BE11" s="47">
        <f t="shared" si="7"/>
        <v>0</v>
      </c>
      <c r="BF11" s="47">
        <f t="shared" si="7"/>
        <v>0</v>
      </c>
      <c r="BG11" s="47">
        <f t="shared" si="7"/>
        <v>0</v>
      </c>
      <c r="BH11" s="47">
        <f t="shared" si="7"/>
        <v>0</v>
      </c>
      <c r="BI11" s="47">
        <f t="shared" si="7"/>
        <v>0</v>
      </c>
      <c r="BJ11" s="47">
        <f t="shared" si="7"/>
        <v>0</v>
      </c>
      <c r="BK11" s="47">
        <f t="shared" si="7"/>
        <v>0</v>
      </c>
      <c r="BL11" s="173">
        <f t="shared" si="7"/>
        <v>0</v>
      </c>
      <c r="BM11" s="144">
        <f t="shared" si="7"/>
        <v>0</v>
      </c>
      <c r="BN11" s="66">
        <f t="shared" si="7"/>
        <v>0</v>
      </c>
      <c r="BO11" s="66">
        <f t="shared" si="7"/>
        <v>0</v>
      </c>
      <c r="BP11" s="66">
        <f t="shared" si="7"/>
        <v>0</v>
      </c>
      <c r="BQ11" s="66">
        <f t="shared" si="7"/>
        <v>0</v>
      </c>
      <c r="BR11" s="66">
        <f t="shared" si="7"/>
        <v>0</v>
      </c>
      <c r="BS11" s="66">
        <f t="shared" si="7"/>
        <v>0</v>
      </c>
      <c r="BT11" s="66"/>
      <c r="BU11" s="66"/>
      <c r="BV11" s="66"/>
      <c r="BW11" s="66"/>
      <c r="BX11" s="66"/>
      <c r="BY11" s="66">
        <f t="shared" si="7"/>
        <v>0</v>
      </c>
      <c r="BZ11" s="66">
        <f t="shared" si="7"/>
        <v>0</v>
      </c>
      <c r="CA11" s="67">
        <f t="shared" si="7"/>
        <v>0</v>
      </c>
      <c r="CB11" s="67">
        <f t="shared" si="7"/>
        <v>0</v>
      </c>
      <c r="CC11" s="68">
        <f t="shared" si="7"/>
        <v>0</v>
      </c>
      <c r="CD11" s="3"/>
      <c r="CE11" s="50">
        <f t="shared" ref="CE11:CH11" si="8">SUM(CE7:CE10)</f>
        <v>0</v>
      </c>
      <c r="CF11" s="121">
        <f t="shared" si="8"/>
        <v>0</v>
      </c>
      <c r="CG11" s="74">
        <f t="shared" si="8"/>
        <v>0</v>
      </c>
      <c r="CH11" s="74">
        <f t="shared" si="8"/>
        <v>0</v>
      </c>
      <c r="CI11" s="16"/>
      <c r="CJ11" s="74">
        <f>SUM(CJ7:CJ9)</f>
        <v>-13512490</v>
      </c>
      <c r="CK11" s="43"/>
      <c r="CL11" s="139">
        <f>SUM(CL7:CL10)</f>
        <v>-16555183.720000001</v>
      </c>
      <c r="CM11" s="16"/>
      <c r="CN11" s="166">
        <f>SUM(CN7:CN10)</f>
        <v>14618139</v>
      </c>
      <c r="CO11" s="16"/>
      <c r="CP11" s="139">
        <f>SUM(CP7:CP10)</f>
        <v>-14618139</v>
      </c>
      <c r="CQ11" s="16"/>
      <c r="CR11" s="254"/>
    </row>
    <row r="12" spans="1:96" x14ac:dyDescent="0.25">
      <c r="A12" s="264"/>
      <c r="B12" s="218"/>
      <c r="C12" s="247"/>
      <c r="D12" s="238"/>
      <c r="E12" s="98"/>
      <c r="F12" s="105"/>
      <c r="G12" s="105"/>
      <c r="H12" s="106"/>
      <c r="I12" s="130"/>
      <c r="J12" s="98"/>
      <c r="K12" s="105"/>
      <c r="L12" s="105"/>
      <c r="M12" s="106"/>
      <c r="N12" s="130"/>
      <c r="O12" s="98"/>
      <c r="P12" s="105"/>
      <c r="Q12" s="105"/>
      <c r="R12" s="106"/>
      <c r="S12" s="132"/>
      <c r="T12" s="98"/>
      <c r="U12" s="105"/>
      <c r="V12" s="105"/>
      <c r="W12" s="106"/>
      <c r="X12" s="98"/>
      <c r="Y12" s="105"/>
      <c r="Z12" s="105"/>
      <c r="AA12" s="106"/>
      <c r="AB12" s="130"/>
      <c r="AC12" s="98"/>
      <c r="AD12" s="105"/>
      <c r="AE12" s="105"/>
      <c r="AF12" s="106"/>
      <c r="AG12" s="106"/>
      <c r="AH12" s="130"/>
      <c r="AI12" s="234"/>
      <c r="AJ12" s="29"/>
      <c r="AK12" s="29"/>
      <c r="AL12" s="29"/>
      <c r="AM12" s="29"/>
      <c r="AN12" s="130"/>
      <c r="AO12" s="40"/>
      <c r="AP12" s="45"/>
      <c r="AQ12" s="45"/>
      <c r="AR12" s="45"/>
      <c r="AS12" s="45"/>
      <c r="AT12" s="148"/>
      <c r="AU12" s="148"/>
      <c r="AV12" s="45"/>
      <c r="AW12" s="45"/>
      <c r="AX12" s="45"/>
      <c r="AY12" s="45"/>
      <c r="AZ12" s="45"/>
      <c r="BA12" s="54"/>
      <c r="BB12" s="3"/>
      <c r="BC12" s="3"/>
      <c r="BD12" s="3"/>
      <c r="BE12" s="3"/>
      <c r="BF12" s="3"/>
      <c r="BG12" s="154"/>
      <c r="BH12" s="3"/>
      <c r="BI12" s="3"/>
      <c r="BJ12" s="3"/>
      <c r="BK12" s="3"/>
      <c r="BL12" s="172"/>
      <c r="BM12" s="55"/>
      <c r="BN12" s="23"/>
      <c r="BO12" s="23"/>
      <c r="BP12" s="23"/>
      <c r="BQ12" s="23"/>
      <c r="BR12" s="23"/>
      <c r="BS12" s="23"/>
      <c r="BT12" s="23"/>
      <c r="BU12" s="23"/>
      <c r="BV12" s="23"/>
      <c r="BW12" s="23"/>
      <c r="BX12" s="23"/>
      <c r="BY12" s="23"/>
      <c r="BZ12" s="55"/>
      <c r="CA12" s="55"/>
      <c r="CB12" s="55"/>
      <c r="CC12" s="60"/>
      <c r="CD12" s="3"/>
      <c r="CE12" s="24"/>
      <c r="CF12" s="25"/>
      <c r="CG12" s="75"/>
      <c r="CH12" s="75"/>
      <c r="CI12" s="16"/>
      <c r="CJ12" s="75"/>
      <c r="CK12" s="43"/>
      <c r="CL12" s="140"/>
      <c r="CM12" s="16"/>
      <c r="CN12" s="167"/>
      <c r="CO12" s="16"/>
      <c r="CP12" s="140"/>
      <c r="CQ12" s="16"/>
      <c r="CR12" s="254"/>
    </row>
    <row r="13" spans="1:96" x14ac:dyDescent="0.25">
      <c r="A13" s="258" t="s">
        <v>32</v>
      </c>
      <c r="B13" s="219"/>
      <c r="C13" s="247"/>
      <c r="D13" s="238"/>
      <c r="E13" s="95"/>
      <c r="F13" s="107"/>
      <c r="G13" s="107"/>
      <c r="H13" s="108"/>
      <c r="I13" s="130"/>
      <c r="J13" s="95"/>
      <c r="K13" s="107"/>
      <c r="L13" s="107"/>
      <c r="M13" s="108"/>
      <c r="N13" s="130"/>
      <c r="O13" s="95"/>
      <c r="P13" s="107"/>
      <c r="Q13" s="107"/>
      <c r="R13" s="108"/>
      <c r="S13" s="132"/>
      <c r="T13" s="95"/>
      <c r="U13" s="107"/>
      <c r="V13" s="107"/>
      <c r="W13" s="108"/>
      <c r="X13" s="95"/>
      <c r="Y13" s="107"/>
      <c r="Z13" s="107"/>
      <c r="AA13" s="108"/>
      <c r="AB13" s="130"/>
      <c r="AC13" s="95"/>
      <c r="AD13" s="107"/>
      <c r="AE13" s="107"/>
      <c r="AF13" s="108"/>
      <c r="AG13" s="108"/>
      <c r="AH13" s="130"/>
      <c r="AI13" s="234"/>
      <c r="AJ13" s="29"/>
      <c r="AK13" s="29"/>
      <c r="AL13" s="29"/>
      <c r="AM13" s="29"/>
      <c r="AN13" s="130"/>
      <c r="AO13" s="40"/>
      <c r="AP13" s="45"/>
      <c r="AQ13" s="45"/>
      <c r="AR13" s="45"/>
      <c r="AS13" s="45"/>
      <c r="AT13" s="148"/>
      <c r="AU13" s="148"/>
      <c r="AV13" s="45"/>
      <c r="AW13" s="45"/>
      <c r="AX13" s="45"/>
      <c r="AY13" s="45"/>
      <c r="AZ13" s="45"/>
      <c r="BA13" s="54"/>
      <c r="BB13" s="3"/>
      <c r="BC13" s="3"/>
      <c r="BD13" s="3"/>
      <c r="BE13" s="3"/>
      <c r="BF13" s="3"/>
      <c r="BG13" s="154"/>
      <c r="BH13" s="3"/>
      <c r="BI13" s="3"/>
      <c r="BJ13" s="3"/>
      <c r="BK13" s="3"/>
      <c r="BL13" s="172"/>
      <c r="BM13" s="55"/>
      <c r="BN13" s="23"/>
      <c r="BO13" s="23"/>
      <c r="BP13" s="23"/>
      <c r="BQ13" s="23"/>
      <c r="BR13" s="23"/>
      <c r="BS13" s="23"/>
      <c r="BT13" s="23"/>
      <c r="BU13" s="23"/>
      <c r="BV13" s="23"/>
      <c r="BW13" s="23"/>
      <c r="BX13" s="23"/>
      <c r="BY13" s="23"/>
      <c r="BZ13" s="23"/>
      <c r="CA13" s="55"/>
      <c r="CB13" s="55"/>
      <c r="CC13" s="60"/>
      <c r="CD13" s="3"/>
      <c r="CE13" s="24"/>
      <c r="CF13" s="25"/>
      <c r="CG13" s="75"/>
      <c r="CH13" s="75"/>
      <c r="CI13" s="16"/>
      <c r="CJ13" s="75"/>
      <c r="CK13" s="43"/>
      <c r="CL13" s="140"/>
      <c r="CM13" s="16"/>
      <c r="CN13" s="167"/>
      <c r="CO13" s="16"/>
      <c r="CP13" s="140"/>
      <c r="CQ13" s="16"/>
      <c r="CR13" s="254"/>
    </row>
    <row r="14" spans="1:96" x14ac:dyDescent="0.25">
      <c r="A14" s="258"/>
      <c r="B14" s="219"/>
      <c r="C14" s="247"/>
      <c r="D14" s="238"/>
      <c r="E14" s="95"/>
      <c r="F14" s="107"/>
      <c r="G14" s="107"/>
      <c r="H14" s="108"/>
      <c r="I14" s="130"/>
      <c r="J14" s="95"/>
      <c r="K14" s="107"/>
      <c r="L14" s="107"/>
      <c r="M14" s="108"/>
      <c r="N14" s="130"/>
      <c r="O14" s="95"/>
      <c r="P14" s="107"/>
      <c r="Q14" s="107"/>
      <c r="R14" s="108"/>
      <c r="S14" s="132"/>
      <c r="T14" s="95"/>
      <c r="U14" s="107"/>
      <c r="V14" s="107"/>
      <c r="W14" s="108"/>
      <c r="X14" s="95"/>
      <c r="Y14" s="107"/>
      <c r="Z14" s="107"/>
      <c r="AA14" s="108"/>
      <c r="AB14" s="130"/>
      <c r="AC14" s="95"/>
      <c r="AD14" s="107"/>
      <c r="AE14" s="107"/>
      <c r="AF14" s="108"/>
      <c r="AG14" s="108"/>
      <c r="AH14" s="130"/>
      <c r="AI14" s="234"/>
      <c r="AJ14" s="29"/>
      <c r="AK14" s="29"/>
      <c r="AL14" s="29"/>
      <c r="AM14" s="29"/>
      <c r="AN14" s="130"/>
      <c r="AO14" s="40"/>
      <c r="AP14" s="45"/>
      <c r="AQ14" s="45"/>
      <c r="AR14" s="45"/>
      <c r="AS14" s="45"/>
      <c r="AT14" s="148"/>
      <c r="AU14" s="148"/>
      <c r="AV14" s="45"/>
      <c r="AW14" s="45"/>
      <c r="AX14" s="45"/>
      <c r="AY14" s="45"/>
      <c r="AZ14" s="45"/>
      <c r="BA14" s="54"/>
      <c r="BB14" s="3"/>
      <c r="BC14" s="3"/>
      <c r="BD14" s="3"/>
      <c r="BE14" s="3"/>
      <c r="BF14" s="3"/>
      <c r="BG14" s="154"/>
      <c r="BH14" s="3"/>
      <c r="BI14" s="3"/>
      <c r="BJ14" s="3"/>
      <c r="BK14" s="3"/>
      <c r="BL14" s="172"/>
      <c r="BM14" s="55"/>
      <c r="BN14" s="23"/>
      <c r="BO14" s="23"/>
      <c r="BP14" s="23"/>
      <c r="BQ14" s="23"/>
      <c r="BR14" s="23"/>
      <c r="BS14" s="23"/>
      <c r="BT14" s="23"/>
      <c r="BU14" s="23"/>
      <c r="BV14" s="23"/>
      <c r="BW14" s="23"/>
      <c r="BX14" s="23"/>
      <c r="BY14" s="23"/>
      <c r="BZ14" s="23"/>
      <c r="CA14" s="55"/>
      <c r="CB14" s="55"/>
      <c r="CC14" s="60"/>
      <c r="CD14" s="3"/>
      <c r="CE14" s="24"/>
      <c r="CF14" s="25"/>
      <c r="CG14" s="75"/>
      <c r="CH14" s="75"/>
      <c r="CI14" s="16"/>
      <c r="CJ14" s="75"/>
      <c r="CK14" s="43"/>
      <c r="CL14" s="140"/>
      <c r="CM14" s="16"/>
      <c r="CN14" s="167"/>
      <c r="CO14" s="16"/>
      <c r="CP14" s="140"/>
      <c r="CQ14" s="16"/>
      <c r="CR14" s="254"/>
    </row>
    <row r="15" spans="1:96" ht="15" customHeight="1" x14ac:dyDescent="0.25">
      <c r="A15" s="261" t="s">
        <v>130</v>
      </c>
      <c r="B15" s="35"/>
      <c r="C15" s="245">
        <f>'PFI CN''s'!E17</f>
        <v>216000</v>
      </c>
      <c r="D15" s="238"/>
      <c r="E15" s="96">
        <f t="shared" ref="E15:E31" si="9">SUM(F15:H15)</f>
        <v>120150</v>
      </c>
      <c r="F15" s="97">
        <v>6422</v>
      </c>
      <c r="G15" s="97">
        <v>113728</v>
      </c>
      <c r="H15" s="97"/>
      <c r="I15" s="132"/>
      <c r="J15" s="96">
        <v>120150</v>
      </c>
      <c r="K15" s="97">
        <v>6422</v>
      </c>
      <c r="L15" s="97">
        <v>113728</v>
      </c>
      <c r="M15" s="97"/>
      <c r="N15" s="132"/>
      <c r="O15" s="96">
        <f t="shared" ref="O15:O31" si="10">SUM(P15:R15)</f>
        <v>120150</v>
      </c>
      <c r="P15" s="97">
        <v>6422</v>
      </c>
      <c r="Q15" s="97">
        <v>113728</v>
      </c>
      <c r="R15" s="97"/>
      <c r="S15" s="132"/>
      <c r="T15" s="96">
        <f t="shared" ref="T15:T36" si="11">SUM(U15:W15)</f>
        <v>120150</v>
      </c>
      <c r="U15" s="97">
        <v>6422</v>
      </c>
      <c r="V15" s="97">
        <v>113728</v>
      </c>
      <c r="W15" s="97"/>
      <c r="X15" s="96">
        <f t="shared" ref="X15:X36" si="12">SUM(Y15:AA15)</f>
        <v>120150</v>
      </c>
      <c r="Y15" s="97">
        <v>6422</v>
      </c>
      <c r="Z15" s="97">
        <v>113728</v>
      </c>
      <c r="AA15" s="97"/>
      <c r="AB15" s="132"/>
      <c r="AC15" s="96">
        <v>120150</v>
      </c>
      <c r="AD15" s="97">
        <f>SUM(AO15:AZ15)</f>
        <v>6422</v>
      </c>
      <c r="AE15" s="97">
        <f>SUM(BA15:BL15)</f>
        <v>102356.59999999999</v>
      </c>
      <c r="AF15" s="97">
        <f>SUM(BM15:CC15)</f>
        <v>0</v>
      </c>
      <c r="AG15" s="97"/>
      <c r="AH15" s="132"/>
      <c r="AI15" s="96">
        <v>0</v>
      </c>
      <c r="AJ15" s="97">
        <v>0</v>
      </c>
      <c r="AK15" s="97">
        <v>0</v>
      </c>
      <c r="AL15" s="97">
        <f>SUM(BM15:CC15)</f>
        <v>0</v>
      </c>
      <c r="AM15" s="97">
        <f t="shared" ref="AM15:AM36" si="13">AI15-SUM(AJ15:AL15)</f>
        <v>0</v>
      </c>
      <c r="AN15" s="132"/>
      <c r="AO15" s="6"/>
      <c r="AP15" s="6"/>
      <c r="AQ15" s="42"/>
      <c r="AR15" s="42"/>
      <c r="AS15" s="42"/>
      <c r="AT15" s="5"/>
      <c r="AU15" s="5"/>
      <c r="AV15" s="6"/>
      <c r="AW15" s="6"/>
      <c r="AX15" s="6"/>
      <c r="AY15" s="6"/>
      <c r="AZ15" s="39">
        <v>6422</v>
      </c>
      <c r="BA15" s="61">
        <v>11373</v>
      </c>
      <c r="BB15" s="5">
        <v>21131</v>
      </c>
      <c r="BC15" s="5">
        <v>1615</v>
      </c>
      <c r="BD15" s="5">
        <v>11373</v>
      </c>
      <c r="BE15" s="5">
        <v>11373</v>
      </c>
      <c r="BF15" s="5">
        <v>11373</v>
      </c>
      <c r="BG15" s="5">
        <v>11372.800000000001</v>
      </c>
      <c r="BH15" s="5">
        <v>11373</v>
      </c>
      <c r="BI15" s="5">
        <v>5686.4000000000005</v>
      </c>
      <c r="BJ15" s="5">
        <v>5686.4000000000005</v>
      </c>
      <c r="BK15" s="5">
        <v>0</v>
      </c>
      <c r="BL15" s="171">
        <v>0</v>
      </c>
      <c r="BM15" s="145"/>
      <c r="BN15" s="62"/>
      <c r="BO15" s="62"/>
      <c r="BP15" s="62"/>
      <c r="BQ15" s="62"/>
      <c r="BR15" s="62"/>
      <c r="BS15" s="62"/>
      <c r="BT15" s="62"/>
      <c r="BU15" s="62"/>
      <c r="BV15" s="62"/>
      <c r="BW15" s="62"/>
      <c r="BX15" s="62"/>
      <c r="BY15" s="62"/>
      <c r="BZ15" s="62"/>
      <c r="CA15" s="63"/>
      <c r="CB15" s="63"/>
      <c r="CC15" s="64"/>
      <c r="CD15" s="3"/>
      <c r="CE15" s="69">
        <f t="shared" ref="CE15:CE36" si="14">SUM(AO15:AZ15)</f>
        <v>6422</v>
      </c>
      <c r="CF15" s="79">
        <f t="shared" ref="CF15:CF36" si="15">SUM(BA15:BL15)</f>
        <v>102356.59999999999</v>
      </c>
      <c r="CG15" s="80">
        <f t="shared" ref="CG15:CG36" si="16">SUM(BM15:CC15)</f>
        <v>0</v>
      </c>
      <c r="CH15" s="81">
        <f t="shared" ref="CH15:CH36" si="17">SUM(CE15:CG15)</f>
        <v>108778.59999999999</v>
      </c>
      <c r="CI15" s="16"/>
      <c r="CJ15" s="77">
        <f t="shared" ref="CJ15:CJ36" si="18">CH15-AC15</f>
        <v>-11371.400000000009</v>
      </c>
      <c r="CK15" s="43"/>
      <c r="CL15" s="138">
        <f>CH15-C15</f>
        <v>-107221.40000000001</v>
      </c>
      <c r="CM15" s="16"/>
      <c r="CN15" s="165"/>
      <c r="CO15" s="16"/>
      <c r="CP15" s="138"/>
      <c r="CQ15" s="16"/>
      <c r="CR15" s="254"/>
    </row>
    <row r="16" spans="1:96" x14ac:dyDescent="0.25">
      <c r="A16" s="261" t="s">
        <v>128</v>
      </c>
      <c r="B16" s="35"/>
      <c r="C16" s="245">
        <v>15000</v>
      </c>
      <c r="D16" s="238"/>
      <c r="E16" s="29">
        <f t="shared" si="9"/>
        <v>11500</v>
      </c>
      <c r="F16" s="31">
        <v>4728</v>
      </c>
      <c r="G16" s="31">
        <v>6772</v>
      </c>
      <c r="H16" s="31"/>
      <c r="I16" s="132"/>
      <c r="J16" s="29">
        <v>11500</v>
      </c>
      <c r="K16" s="31">
        <v>4728</v>
      </c>
      <c r="L16" s="31">
        <v>6772</v>
      </c>
      <c r="M16" s="31"/>
      <c r="N16" s="132"/>
      <c r="O16" s="29">
        <f t="shared" si="10"/>
        <v>11500</v>
      </c>
      <c r="P16" s="31">
        <v>4728</v>
      </c>
      <c r="Q16" s="31">
        <v>6772</v>
      </c>
      <c r="R16" s="31"/>
      <c r="S16" s="132"/>
      <c r="T16" s="29">
        <f t="shared" si="11"/>
        <v>11500</v>
      </c>
      <c r="U16" s="31">
        <v>4728</v>
      </c>
      <c r="V16" s="31">
        <v>6772</v>
      </c>
      <c r="W16" s="31"/>
      <c r="X16" s="29">
        <f t="shared" si="12"/>
        <v>11500</v>
      </c>
      <c r="Y16" s="31">
        <v>4728</v>
      </c>
      <c r="Z16" s="31">
        <v>6772</v>
      </c>
      <c r="AA16" s="31"/>
      <c r="AB16" s="132"/>
      <c r="AC16" s="29">
        <v>11500</v>
      </c>
      <c r="AD16" s="31">
        <f t="shared" ref="AD16:AD36" si="19">SUM(AO16:AZ16)</f>
        <v>4728</v>
      </c>
      <c r="AE16" s="31">
        <f t="shared" ref="AE16:AE36" si="20">SUM(BA16:BL16)</f>
        <v>-109</v>
      </c>
      <c r="AF16" s="31">
        <f t="shared" ref="AF16:AF36" si="21">SUM(BM16:CC16)</f>
        <v>0</v>
      </c>
      <c r="AG16" s="31"/>
      <c r="AH16" s="132"/>
      <c r="AI16" s="29">
        <v>0</v>
      </c>
      <c r="AJ16" s="97">
        <v>0</v>
      </c>
      <c r="AK16" s="97">
        <v>0</v>
      </c>
      <c r="AL16" s="97">
        <f t="shared" ref="AL16:AL36" si="22">SUM(BM16:CC16)</f>
        <v>0</v>
      </c>
      <c r="AM16" s="31">
        <f t="shared" si="13"/>
        <v>0</v>
      </c>
      <c r="AN16" s="132"/>
      <c r="AO16" s="6"/>
      <c r="AP16" s="6"/>
      <c r="AQ16" s="42"/>
      <c r="AR16" s="42"/>
      <c r="AS16" s="42"/>
      <c r="AT16" s="5"/>
      <c r="AU16" s="5"/>
      <c r="AV16" s="6"/>
      <c r="AW16" s="6"/>
      <c r="AX16" s="6"/>
      <c r="AY16" s="6"/>
      <c r="AZ16" s="39">
        <v>4728</v>
      </c>
      <c r="BA16" s="61"/>
      <c r="BB16" s="2"/>
      <c r="BC16" s="2"/>
      <c r="BD16" s="5"/>
      <c r="BE16" s="2"/>
      <c r="BF16" s="2"/>
      <c r="BG16" s="5"/>
      <c r="BH16" s="5">
        <v>-1288</v>
      </c>
      <c r="BI16" s="5"/>
      <c r="BJ16" s="5"/>
      <c r="BK16" s="5">
        <v>1179</v>
      </c>
      <c r="BL16" s="171">
        <v>0</v>
      </c>
      <c r="BM16" s="145"/>
      <c r="BN16" s="62"/>
      <c r="BO16" s="62"/>
      <c r="BP16" s="62"/>
      <c r="BQ16" s="62"/>
      <c r="BR16" s="62"/>
      <c r="BS16" s="62"/>
      <c r="BT16" s="62"/>
      <c r="BU16" s="62"/>
      <c r="BV16" s="62"/>
      <c r="BW16" s="62"/>
      <c r="BX16" s="62"/>
      <c r="BY16" s="62"/>
      <c r="BZ16" s="62"/>
      <c r="CA16" s="63"/>
      <c r="CB16" s="63"/>
      <c r="CC16" s="64"/>
      <c r="CD16" s="3"/>
      <c r="CE16" s="69">
        <f t="shared" si="14"/>
        <v>4728</v>
      </c>
      <c r="CF16" s="76">
        <f t="shared" si="15"/>
        <v>-109</v>
      </c>
      <c r="CG16" s="77">
        <f t="shared" si="16"/>
        <v>0</v>
      </c>
      <c r="CH16" s="78">
        <f t="shared" si="17"/>
        <v>4619</v>
      </c>
      <c r="CI16" s="16"/>
      <c r="CJ16" s="77">
        <f t="shared" si="18"/>
        <v>-6881</v>
      </c>
      <c r="CK16" s="43"/>
      <c r="CL16" s="138">
        <f>CH16-C16</f>
        <v>-10381</v>
      </c>
      <c r="CM16" s="16"/>
      <c r="CN16" s="165"/>
      <c r="CO16" s="16"/>
      <c r="CP16" s="138"/>
      <c r="CQ16" s="16"/>
      <c r="CR16" s="254"/>
    </row>
    <row r="17" spans="1:96" hidden="1" x14ac:dyDescent="0.25">
      <c r="A17" s="261" t="s">
        <v>122</v>
      </c>
      <c r="B17" s="16"/>
      <c r="C17" s="248">
        <v>0</v>
      </c>
      <c r="D17" s="238"/>
      <c r="E17" s="29">
        <f t="shared" si="9"/>
        <v>28815</v>
      </c>
      <c r="F17" s="31">
        <v>28815</v>
      </c>
      <c r="G17" s="31"/>
      <c r="H17" s="31"/>
      <c r="I17" s="132"/>
      <c r="J17" s="29">
        <v>28815</v>
      </c>
      <c r="K17" s="31">
        <v>28815</v>
      </c>
      <c r="L17" s="31"/>
      <c r="M17" s="31"/>
      <c r="N17" s="132"/>
      <c r="O17" s="29">
        <f t="shared" si="10"/>
        <v>28815</v>
      </c>
      <c r="P17" s="31">
        <v>28815</v>
      </c>
      <c r="Q17" s="31"/>
      <c r="R17" s="31"/>
      <c r="S17" s="132"/>
      <c r="T17" s="29">
        <f t="shared" si="11"/>
        <v>28815</v>
      </c>
      <c r="U17" s="31">
        <v>28815</v>
      </c>
      <c r="V17" s="31"/>
      <c r="W17" s="31"/>
      <c r="X17" s="29">
        <f t="shared" si="12"/>
        <v>28815</v>
      </c>
      <c r="Y17" s="31">
        <v>28815</v>
      </c>
      <c r="Z17" s="31"/>
      <c r="AA17" s="31"/>
      <c r="AB17" s="132"/>
      <c r="AC17" s="29">
        <v>28815</v>
      </c>
      <c r="AD17" s="31">
        <f t="shared" si="19"/>
        <v>28815</v>
      </c>
      <c r="AE17" s="31">
        <f t="shared" si="20"/>
        <v>0</v>
      </c>
      <c r="AF17" s="31">
        <f t="shared" si="21"/>
        <v>0</v>
      </c>
      <c r="AG17" s="31"/>
      <c r="AH17" s="132"/>
      <c r="AI17" s="29">
        <v>0</v>
      </c>
      <c r="AJ17" s="97">
        <v>0</v>
      </c>
      <c r="AK17" s="97">
        <f t="shared" ref="AK17:AK34" si="23">SUM(BA17:BL17)</f>
        <v>0</v>
      </c>
      <c r="AL17" s="97">
        <f t="shared" si="22"/>
        <v>0</v>
      </c>
      <c r="AM17" s="31">
        <f t="shared" si="13"/>
        <v>0</v>
      </c>
      <c r="AN17" s="132"/>
      <c r="AO17" s="6"/>
      <c r="AP17" s="6"/>
      <c r="AQ17" s="42"/>
      <c r="AR17" s="42"/>
      <c r="AS17" s="42"/>
      <c r="AT17" s="5"/>
      <c r="AU17" s="5"/>
      <c r="AV17" s="6"/>
      <c r="AW17" s="6"/>
      <c r="AX17" s="6"/>
      <c r="AY17" s="6"/>
      <c r="AZ17" s="39">
        <f>133640-104825</f>
        <v>28815</v>
      </c>
      <c r="BA17" s="61"/>
      <c r="BB17" s="2"/>
      <c r="BC17" s="2"/>
      <c r="BD17" s="5"/>
      <c r="BE17" s="2"/>
      <c r="BF17" s="2"/>
      <c r="BG17" s="155"/>
      <c r="BH17" s="5"/>
      <c r="BI17" s="5"/>
      <c r="BJ17" s="5"/>
      <c r="BK17" s="5"/>
      <c r="BL17" s="171"/>
      <c r="BM17" s="145"/>
      <c r="BN17" s="62"/>
      <c r="BO17" s="62"/>
      <c r="BP17" s="62"/>
      <c r="BQ17" s="62"/>
      <c r="BR17" s="62"/>
      <c r="BS17" s="62"/>
      <c r="BT17" s="62"/>
      <c r="BU17" s="62"/>
      <c r="BV17" s="62"/>
      <c r="BW17" s="62"/>
      <c r="BX17" s="62"/>
      <c r="BY17" s="62"/>
      <c r="BZ17" s="62"/>
      <c r="CA17" s="63"/>
      <c r="CB17" s="63"/>
      <c r="CC17" s="64"/>
      <c r="CD17" s="3"/>
      <c r="CE17" s="69">
        <f t="shared" si="14"/>
        <v>28815</v>
      </c>
      <c r="CF17" s="76">
        <f t="shared" si="15"/>
        <v>0</v>
      </c>
      <c r="CG17" s="77">
        <f t="shared" si="16"/>
        <v>0</v>
      </c>
      <c r="CH17" s="78">
        <f t="shared" si="17"/>
        <v>28815</v>
      </c>
      <c r="CI17" s="16"/>
      <c r="CJ17" s="77">
        <f t="shared" si="18"/>
        <v>0</v>
      </c>
      <c r="CK17" s="43"/>
      <c r="CL17" s="138" t="e">
        <f>CH17-#REF!</f>
        <v>#REF!</v>
      </c>
      <c r="CM17" s="16"/>
      <c r="CN17" s="165"/>
      <c r="CO17" s="16"/>
      <c r="CP17" s="138"/>
      <c r="CQ17" s="16"/>
      <c r="CR17" s="254"/>
    </row>
    <row r="18" spans="1:96" hidden="1" x14ac:dyDescent="0.25">
      <c r="A18" s="265" t="s">
        <v>115</v>
      </c>
      <c r="B18" s="90"/>
      <c r="C18" s="249">
        <v>0</v>
      </c>
      <c r="D18" s="238"/>
      <c r="E18" s="29"/>
      <c r="F18" s="31"/>
      <c r="G18" s="31"/>
      <c r="H18" s="31"/>
      <c r="I18" s="132"/>
      <c r="J18" s="29"/>
      <c r="K18" s="31"/>
      <c r="L18" s="31"/>
      <c r="M18" s="31"/>
      <c r="N18" s="132"/>
      <c r="O18" s="29"/>
      <c r="P18" s="31"/>
      <c r="Q18" s="31"/>
      <c r="R18" s="31"/>
      <c r="S18" s="132"/>
      <c r="T18" s="29"/>
      <c r="U18" s="31"/>
      <c r="V18" s="31"/>
      <c r="W18" s="31"/>
      <c r="X18" s="29"/>
      <c r="Y18" s="31"/>
      <c r="Z18" s="31"/>
      <c r="AA18" s="31"/>
      <c r="AB18" s="132"/>
      <c r="AC18" s="29"/>
      <c r="AD18" s="31"/>
      <c r="AE18" s="31"/>
      <c r="AF18" s="31"/>
      <c r="AG18" s="31"/>
      <c r="AH18" s="132"/>
      <c r="AI18" s="29"/>
      <c r="AJ18" s="97"/>
      <c r="AK18" s="97"/>
      <c r="AL18" s="97"/>
      <c r="AM18" s="31"/>
      <c r="AN18" s="132"/>
      <c r="AO18" s="6"/>
      <c r="AP18" s="6"/>
      <c r="AQ18" s="42"/>
      <c r="AR18" s="42"/>
      <c r="AS18" s="42"/>
      <c r="AT18" s="5"/>
      <c r="AU18" s="5"/>
      <c r="AV18" s="6"/>
      <c r="AW18" s="6"/>
      <c r="AX18" s="6"/>
      <c r="AY18" s="6"/>
      <c r="AZ18" s="39"/>
      <c r="BA18" s="61"/>
      <c r="BB18" s="2"/>
      <c r="BC18" s="2"/>
      <c r="BD18" s="5"/>
      <c r="BE18" s="2"/>
      <c r="BF18" s="2"/>
      <c r="BG18" s="155"/>
      <c r="BH18" s="5"/>
      <c r="BI18" s="5"/>
      <c r="BJ18" s="5"/>
      <c r="BK18" s="5"/>
      <c r="BL18" s="171"/>
      <c r="BM18" s="145"/>
      <c r="BN18" s="62"/>
      <c r="BO18" s="62"/>
      <c r="BP18" s="62"/>
      <c r="BQ18" s="62"/>
      <c r="BR18" s="62"/>
      <c r="BS18" s="62"/>
      <c r="BT18" s="62"/>
      <c r="BU18" s="62"/>
      <c r="BV18" s="62"/>
      <c r="BW18" s="62"/>
      <c r="BX18" s="62"/>
      <c r="BY18" s="62"/>
      <c r="BZ18" s="62"/>
      <c r="CA18" s="63"/>
      <c r="CB18" s="63"/>
      <c r="CC18" s="64"/>
      <c r="CD18" s="3"/>
      <c r="CE18" s="69"/>
      <c r="CF18" s="76"/>
      <c r="CG18" s="77"/>
      <c r="CH18" s="78"/>
      <c r="CI18" s="16"/>
      <c r="CJ18" s="77"/>
      <c r="CK18" s="43"/>
      <c r="CL18" s="138"/>
      <c r="CM18" s="16"/>
      <c r="CN18" s="165"/>
      <c r="CO18" s="16"/>
      <c r="CP18" s="138"/>
      <c r="CQ18" s="16"/>
      <c r="CR18" s="254"/>
    </row>
    <row r="19" spans="1:96" hidden="1" x14ac:dyDescent="0.25">
      <c r="A19" s="265" t="s">
        <v>116</v>
      </c>
      <c r="B19" s="90"/>
      <c r="C19" s="249">
        <v>0</v>
      </c>
      <c r="D19" s="238"/>
      <c r="E19" s="29"/>
      <c r="F19" s="31"/>
      <c r="G19" s="31"/>
      <c r="H19" s="31"/>
      <c r="I19" s="132"/>
      <c r="J19" s="29"/>
      <c r="K19" s="31"/>
      <c r="L19" s="31"/>
      <c r="M19" s="31"/>
      <c r="N19" s="132"/>
      <c r="O19" s="29"/>
      <c r="P19" s="31"/>
      <c r="Q19" s="31"/>
      <c r="R19" s="31"/>
      <c r="S19" s="132"/>
      <c r="T19" s="29"/>
      <c r="U19" s="31"/>
      <c r="V19" s="31"/>
      <c r="W19" s="31"/>
      <c r="X19" s="29"/>
      <c r="Y19" s="31"/>
      <c r="Z19" s="31"/>
      <c r="AA19" s="31"/>
      <c r="AB19" s="132"/>
      <c r="AC19" s="29"/>
      <c r="AD19" s="31"/>
      <c r="AE19" s="31"/>
      <c r="AF19" s="31"/>
      <c r="AG19" s="31"/>
      <c r="AH19" s="132"/>
      <c r="AI19" s="29"/>
      <c r="AJ19" s="97"/>
      <c r="AK19" s="97"/>
      <c r="AL19" s="97"/>
      <c r="AM19" s="31"/>
      <c r="AN19" s="132"/>
      <c r="AO19" s="6"/>
      <c r="AP19" s="6"/>
      <c r="AQ19" s="42"/>
      <c r="AR19" s="42"/>
      <c r="AS19" s="42"/>
      <c r="AT19" s="5"/>
      <c r="AU19" s="5"/>
      <c r="AV19" s="6"/>
      <c r="AW19" s="6"/>
      <c r="AX19" s="6"/>
      <c r="AY19" s="6"/>
      <c r="AZ19" s="39"/>
      <c r="BA19" s="61"/>
      <c r="BB19" s="2"/>
      <c r="BC19" s="2"/>
      <c r="BD19" s="5"/>
      <c r="BE19" s="2"/>
      <c r="BF19" s="2"/>
      <c r="BG19" s="155"/>
      <c r="BH19" s="5"/>
      <c r="BI19" s="5"/>
      <c r="BJ19" s="5"/>
      <c r="BK19" s="5"/>
      <c r="BL19" s="171"/>
      <c r="BM19" s="145"/>
      <c r="BN19" s="62"/>
      <c r="BO19" s="62"/>
      <c r="BP19" s="62"/>
      <c r="BQ19" s="62"/>
      <c r="BR19" s="62"/>
      <c r="BS19" s="62"/>
      <c r="BT19" s="62"/>
      <c r="BU19" s="62"/>
      <c r="BV19" s="62"/>
      <c r="BW19" s="62"/>
      <c r="BX19" s="62"/>
      <c r="BY19" s="62"/>
      <c r="BZ19" s="62"/>
      <c r="CA19" s="63"/>
      <c r="CB19" s="63"/>
      <c r="CC19" s="64"/>
      <c r="CD19" s="3"/>
      <c r="CE19" s="69"/>
      <c r="CF19" s="76"/>
      <c r="CG19" s="77"/>
      <c r="CH19" s="78"/>
      <c r="CI19" s="16"/>
      <c r="CJ19" s="77"/>
      <c r="CK19" s="43"/>
      <c r="CL19" s="138"/>
      <c r="CM19" s="16"/>
      <c r="CN19" s="165"/>
      <c r="CO19" s="16"/>
      <c r="CP19" s="138"/>
      <c r="CQ19" s="16"/>
      <c r="CR19" s="254"/>
    </row>
    <row r="20" spans="1:96" hidden="1" x14ac:dyDescent="0.25">
      <c r="A20" s="265" t="s">
        <v>117</v>
      </c>
      <c r="B20" s="90"/>
      <c r="C20" s="249">
        <v>0</v>
      </c>
      <c r="D20" s="238"/>
      <c r="E20" s="29"/>
      <c r="F20" s="31"/>
      <c r="G20" s="31"/>
      <c r="H20" s="31"/>
      <c r="I20" s="132"/>
      <c r="J20" s="29"/>
      <c r="K20" s="31"/>
      <c r="L20" s="31"/>
      <c r="M20" s="31"/>
      <c r="N20" s="132"/>
      <c r="O20" s="29"/>
      <c r="P20" s="31"/>
      <c r="Q20" s="31"/>
      <c r="R20" s="31"/>
      <c r="S20" s="132"/>
      <c r="T20" s="29"/>
      <c r="U20" s="31"/>
      <c r="V20" s="31"/>
      <c r="W20" s="31"/>
      <c r="X20" s="29"/>
      <c r="Y20" s="31"/>
      <c r="Z20" s="31"/>
      <c r="AA20" s="31"/>
      <c r="AB20" s="132"/>
      <c r="AC20" s="29"/>
      <c r="AD20" s="31"/>
      <c r="AE20" s="31"/>
      <c r="AF20" s="31"/>
      <c r="AG20" s="31"/>
      <c r="AH20" s="132"/>
      <c r="AI20" s="29"/>
      <c r="AJ20" s="97"/>
      <c r="AK20" s="97"/>
      <c r="AL20" s="97"/>
      <c r="AM20" s="31"/>
      <c r="AN20" s="132"/>
      <c r="AO20" s="6"/>
      <c r="AP20" s="6"/>
      <c r="AQ20" s="42"/>
      <c r="AR20" s="42"/>
      <c r="AS20" s="42"/>
      <c r="AT20" s="5"/>
      <c r="AU20" s="5"/>
      <c r="AV20" s="6"/>
      <c r="AW20" s="6"/>
      <c r="AX20" s="6"/>
      <c r="AY20" s="6"/>
      <c r="AZ20" s="39"/>
      <c r="BA20" s="61"/>
      <c r="BB20" s="2"/>
      <c r="BC20" s="2"/>
      <c r="BD20" s="5"/>
      <c r="BE20" s="2"/>
      <c r="BF20" s="2"/>
      <c r="BG20" s="155"/>
      <c r="BH20" s="5"/>
      <c r="BI20" s="5"/>
      <c r="BJ20" s="5"/>
      <c r="BK20" s="5"/>
      <c r="BL20" s="171"/>
      <c r="BM20" s="145"/>
      <c r="BN20" s="62"/>
      <c r="BO20" s="62"/>
      <c r="BP20" s="62"/>
      <c r="BQ20" s="62"/>
      <c r="BR20" s="62"/>
      <c r="BS20" s="62"/>
      <c r="BT20" s="62"/>
      <c r="BU20" s="62"/>
      <c r="BV20" s="62"/>
      <c r="BW20" s="62"/>
      <c r="BX20" s="62"/>
      <c r="BY20" s="62"/>
      <c r="BZ20" s="62"/>
      <c r="CA20" s="63"/>
      <c r="CB20" s="63"/>
      <c r="CC20" s="64"/>
      <c r="CD20" s="3"/>
      <c r="CE20" s="69"/>
      <c r="CF20" s="76"/>
      <c r="CG20" s="77"/>
      <c r="CH20" s="78"/>
      <c r="CI20" s="16"/>
      <c r="CJ20" s="77"/>
      <c r="CK20" s="43"/>
      <c r="CL20" s="138"/>
      <c r="CM20" s="16"/>
      <c r="CN20" s="165"/>
      <c r="CO20" s="16"/>
      <c r="CP20" s="138"/>
      <c r="CQ20" s="16"/>
      <c r="CR20" s="254"/>
    </row>
    <row r="21" spans="1:96" hidden="1" x14ac:dyDescent="0.25">
      <c r="A21" s="265" t="s">
        <v>118</v>
      </c>
      <c r="B21" s="90"/>
      <c r="C21" s="245">
        <v>0</v>
      </c>
      <c r="D21" s="238"/>
      <c r="E21" s="29"/>
      <c r="F21" s="31"/>
      <c r="G21" s="31"/>
      <c r="H21" s="31"/>
      <c r="I21" s="132"/>
      <c r="J21" s="29"/>
      <c r="K21" s="31"/>
      <c r="L21" s="31"/>
      <c r="M21" s="31"/>
      <c r="N21" s="132"/>
      <c r="O21" s="29"/>
      <c r="P21" s="31"/>
      <c r="Q21" s="31"/>
      <c r="R21" s="31"/>
      <c r="S21" s="132"/>
      <c r="T21" s="29"/>
      <c r="U21" s="31"/>
      <c r="V21" s="31"/>
      <c r="W21" s="31"/>
      <c r="X21" s="29"/>
      <c r="Y21" s="31"/>
      <c r="Z21" s="31"/>
      <c r="AA21" s="31"/>
      <c r="AB21" s="132"/>
      <c r="AC21" s="29"/>
      <c r="AD21" s="31"/>
      <c r="AE21" s="31"/>
      <c r="AF21" s="31"/>
      <c r="AG21" s="31"/>
      <c r="AH21" s="132"/>
      <c r="AI21" s="29"/>
      <c r="AJ21" s="97"/>
      <c r="AK21" s="97"/>
      <c r="AL21" s="97"/>
      <c r="AM21" s="31"/>
      <c r="AN21" s="132"/>
      <c r="AO21" s="6"/>
      <c r="AP21" s="6"/>
      <c r="AQ21" s="42"/>
      <c r="AR21" s="42"/>
      <c r="AS21" s="42"/>
      <c r="AT21" s="5"/>
      <c r="AU21" s="5"/>
      <c r="AV21" s="6"/>
      <c r="AW21" s="6"/>
      <c r="AX21" s="6"/>
      <c r="AY21" s="6"/>
      <c r="AZ21" s="39"/>
      <c r="BA21" s="61"/>
      <c r="BB21" s="2"/>
      <c r="BC21" s="2"/>
      <c r="BD21" s="5"/>
      <c r="BE21" s="2"/>
      <c r="BF21" s="2"/>
      <c r="BG21" s="155"/>
      <c r="BH21" s="5"/>
      <c r="BI21" s="5"/>
      <c r="BJ21" s="5"/>
      <c r="BK21" s="5"/>
      <c r="BL21" s="171"/>
      <c r="BM21" s="145"/>
      <c r="BN21" s="62"/>
      <c r="BO21" s="62"/>
      <c r="BP21" s="62"/>
      <c r="BQ21" s="62"/>
      <c r="BR21" s="62"/>
      <c r="BS21" s="62"/>
      <c r="BT21" s="62"/>
      <c r="BU21" s="62"/>
      <c r="BV21" s="62"/>
      <c r="BW21" s="62"/>
      <c r="BX21" s="62"/>
      <c r="BY21" s="62"/>
      <c r="BZ21" s="62"/>
      <c r="CA21" s="63"/>
      <c r="CB21" s="63"/>
      <c r="CC21" s="64"/>
      <c r="CD21" s="3"/>
      <c r="CE21" s="69"/>
      <c r="CF21" s="76"/>
      <c r="CG21" s="77"/>
      <c r="CH21" s="78"/>
      <c r="CI21" s="16"/>
      <c r="CJ21" s="77"/>
      <c r="CK21" s="43"/>
      <c r="CL21" s="138"/>
      <c r="CM21" s="16"/>
      <c r="CN21" s="165"/>
      <c r="CO21" s="16"/>
      <c r="CP21" s="138"/>
      <c r="CQ21" s="16"/>
      <c r="CR21" s="254"/>
    </row>
    <row r="22" spans="1:96" hidden="1" x14ac:dyDescent="0.25">
      <c r="A22" s="265" t="s">
        <v>119</v>
      </c>
      <c r="B22" s="90"/>
      <c r="C22" s="245">
        <v>0</v>
      </c>
      <c r="D22" s="238"/>
      <c r="E22" s="29"/>
      <c r="F22" s="31"/>
      <c r="G22" s="31"/>
      <c r="H22" s="31"/>
      <c r="I22" s="132"/>
      <c r="J22" s="29"/>
      <c r="K22" s="31"/>
      <c r="L22" s="31"/>
      <c r="M22" s="31"/>
      <c r="N22" s="132"/>
      <c r="O22" s="29"/>
      <c r="P22" s="31"/>
      <c r="Q22" s="31"/>
      <c r="R22" s="31"/>
      <c r="S22" s="132"/>
      <c r="T22" s="29"/>
      <c r="U22" s="31"/>
      <c r="V22" s="31"/>
      <c r="W22" s="31"/>
      <c r="X22" s="29"/>
      <c r="Y22" s="31"/>
      <c r="Z22" s="31"/>
      <c r="AA22" s="31"/>
      <c r="AB22" s="132"/>
      <c r="AC22" s="29"/>
      <c r="AD22" s="31"/>
      <c r="AE22" s="31"/>
      <c r="AF22" s="31"/>
      <c r="AG22" s="31"/>
      <c r="AH22" s="132"/>
      <c r="AI22" s="29"/>
      <c r="AJ22" s="97"/>
      <c r="AK22" s="97"/>
      <c r="AL22" s="97"/>
      <c r="AM22" s="31"/>
      <c r="AN22" s="132"/>
      <c r="AO22" s="6"/>
      <c r="AP22" s="6"/>
      <c r="AQ22" s="42"/>
      <c r="AR22" s="42"/>
      <c r="AS22" s="42"/>
      <c r="AT22" s="5"/>
      <c r="AU22" s="5"/>
      <c r="AV22" s="6"/>
      <c r="AW22" s="6"/>
      <c r="AX22" s="6"/>
      <c r="AY22" s="6"/>
      <c r="AZ22" s="39"/>
      <c r="BA22" s="61"/>
      <c r="BB22" s="2"/>
      <c r="BC22" s="2"/>
      <c r="BD22" s="5"/>
      <c r="BE22" s="2"/>
      <c r="BF22" s="2"/>
      <c r="BG22" s="155"/>
      <c r="BH22" s="5"/>
      <c r="BI22" s="5"/>
      <c r="BJ22" s="5"/>
      <c r="BK22" s="5"/>
      <c r="BL22" s="171"/>
      <c r="BM22" s="145"/>
      <c r="BN22" s="62"/>
      <c r="BO22" s="62"/>
      <c r="BP22" s="62"/>
      <c r="BQ22" s="62"/>
      <c r="BR22" s="62"/>
      <c r="BS22" s="62"/>
      <c r="BT22" s="62"/>
      <c r="BU22" s="62"/>
      <c r="BV22" s="62"/>
      <c r="BW22" s="62"/>
      <c r="BX22" s="62"/>
      <c r="BY22" s="62"/>
      <c r="BZ22" s="62"/>
      <c r="CA22" s="63"/>
      <c r="CB22" s="63"/>
      <c r="CC22" s="64"/>
      <c r="CD22" s="3"/>
      <c r="CE22" s="69"/>
      <c r="CF22" s="76"/>
      <c r="CG22" s="77"/>
      <c r="CH22" s="78"/>
      <c r="CI22" s="16"/>
      <c r="CJ22" s="77"/>
      <c r="CK22" s="43"/>
      <c r="CL22" s="138"/>
      <c r="CM22" s="16"/>
      <c r="CN22" s="165"/>
      <c r="CO22" s="16"/>
      <c r="CP22" s="138"/>
      <c r="CQ22" s="16"/>
      <c r="CR22" s="254"/>
    </row>
    <row r="23" spans="1:96" hidden="1" x14ac:dyDescent="0.25">
      <c r="A23" s="265" t="s">
        <v>136</v>
      </c>
      <c r="B23" s="90"/>
      <c r="C23" s="249">
        <v>0</v>
      </c>
      <c r="D23" s="238"/>
      <c r="E23" s="29"/>
      <c r="F23" s="31"/>
      <c r="G23" s="31"/>
      <c r="H23" s="31"/>
      <c r="I23" s="132"/>
      <c r="J23" s="29"/>
      <c r="K23" s="31"/>
      <c r="L23" s="31"/>
      <c r="M23" s="31"/>
      <c r="N23" s="132"/>
      <c r="O23" s="29"/>
      <c r="P23" s="31"/>
      <c r="Q23" s="31"/>
      <c r="R23" s="31"/>
      <c r="S23" s="132"/>
      <c r="T23" s="29"/>
      <c r="U23" s="31"/>
      <c r="V23" s="31"/>
      <c r="W23" s="31"/>
      <c r="X23" s="29"/>
      <c r="Y23" s="31"/>
      <c r="Z23" s="31"/>
      <c r="AA23" s="31"/>
      <c r="AB23" s="132"/>
      <c r="AC23" s="29"/>
      <c r="AD23" s="31"/>
      <c r="AE23" s="31"/>
      <c r="AF23" s="31"/>
      <c r="AG23" s="31"/>
      <c r="AH23" s="132"/>
      <c r="AI23" s="29"/>
      <c r="AJ23" s="97"/>
      <c r="AK23" s="97"/>
      <c r="AL23" s="97"/>
      <c r="AM23" s="31"/>
      <c r="AN23" s="132"/>
      <c r="AO23" s="6"/>
      <c r="AP23" s="6"/>
      <c r="AQ23" s="42"/>
      <c r="AR23" s="42"/>
      <c r="AS23" s="42"/>
      <c r="AT23" s="5"/>
      <c r="AU23" s="5"/>
      <c r="AV23" s="6"/>
      <c r="AW23" s="6"/>
      <c r="AX23" s="6"/>
      <c r="AY23" s="6"/>
      <c r="AZ23" s="39"/>
      <c r="BA23" s="61"/>
      <c r="BB23" s="2"/>
      <c r="BC23" s="2"/>
      <c r="BD23" s="5"/>
      <c r="BE23" s="2"/>
      <c r="BF23" s="2"/>
      <c r="BG23" s="155"/>
      <c r="BH23" s="5"/>
      <c r="BI23" s="5"/>
      <c r="BJ23" s="5"/>
      <c r="BK23" s="5"/>
      <c r="BL23" s="171"/>
      <c r="BM23" s="145"/>
      <c r="BN23" s="62"/>
      <c r="BO23" s="62"/>
      <c r="BP23" s="62"/>
      <c r="BQ23" s="62"/>
      <c r="BR23" s="62"/>
      <c r="BS23" s="62"/>
      <c r="BT23" s="62"/>
      <c r="BU23" s="62"/>
      <c r="BV23" s="62"/>
      <c r="BW23" s="62"/>
      <c r="BX23" s="62"/>
      <c r="BY23" s="62"/>
      <c r="BZ23" s="62"/>
      <c r="CA23" s="63"/>
      <c r="CB23" s="63"/>
      <c r="CC23" s="64"/>
      <c r="CD23" s="3"/>
      <c r="CE23" s="69"/>
      <c r="CF23" s="76"/>
      <c r="CG23" s="77"/>
      <c r="CH23" s="78"/>
      <c r="CI23" s="16"/>
      <c r="CJ23" s="77"/>
      <c r="CK23" s="43"/>
      <c r="CL23" s="138"/>
      <c r="CM23" s="16"/>
      <c r="CN23" s="165"/>
      <c r="CO23" s="16"/>
      <c r="CP23" s="138"/>
      <c r="CQ23" s="16"/>
      <c r="CR23" s="254"/>
    </row>
    <row r="24" spans="1:96" hidden="1" x14ac:dyDescent="0.25">
      <c r="A24" s="265" t="s">
        <v>120</v>
      </c>
      <c r="B24" s="90"/>
      <c r="C24" s="249">
        <v>0</v>
      </c>
      <c r="D24" s="238"/>
      <c r="E24" s="29"/>
      <c r="F24" s="31"/>
      <c r="G24" s="31"/>
      <c r="H24" s="31"/>
      <c r="I24" s="132"/>
      <c r="J24" s="29"/>
      <c r="K24" s="31"/>
      <c r="L24" s="31"/>
      <c r="M24" s="31"/>
      <c r="N24" s="132"/>
      <c r="O24" s="29"/>
      <c r="P24" s="31"/>
      <c r="Q24" s="31"/>
      <c r="R24" s="31"/>
      <c r="S24" s="132"/>
      <c r="T24" s="29"/>
      <c r="U24" s="31"/>
      <c r="V24" s="31"/>
      <c r="W24" s="31"/>
      <c r="X24" s="29"/>
      <c r="Y24" s="31"/>
      <c r="Z24" s="31"/>
      <c r="AA24" s="31"/>
      <c r="AB24" s="132"/>
      <c r="AC24" s="29"/>
      <c r="AD24" s="31"/>
      <c r="AE24" s="31"/>
      <c r="AF24" s="31"/>
      <c r="AG24" s="31"/>
      <c r="AH24" s="132"/>
      <c r="AI24" s="29"/>
      <c r="AJ24" s="97"/>
      <c r="AK24" s="97"/>
      <c r="AL24" s="97"/>
      <c r="AM24" s="31"/>
      <c r="AN24" s="132"/>
      <c r="AO24" s="6"/>
      <c r="AP24" s="6"/>
      <c r="AQ24" s="42"/>
      <c r="AR24" s="42"/>
      <c r="AS24" s="42"/>
      <c r="AT24" s="5"/>
      <c r="AU24" s="5"/>
      <c r="AV24" s="6"/>
      <c r="AW24" s="6"/>
      <c r="AX24" s="6"/>
      <c r="AY24" s="6"/>
      <c r="AZ24" s="39"/>
      <c r="BA24" s="61"/>
      <c r="BB24" s="2"/>
      <c r="BC24" s="2"/>
      <c r="BD24" s="5"/>
      <c r="BE24" s="2"/>
      <c r="BF24" s="2"/>
      <c r="BG24" s="155"/>
      <c r="BH24" s="5"/>
      <c r="BI24" s="5"/>
      <c r="BJ24" s="5"/>
      <c r="BK24" s="5"/>
      <c r="BL24" s="171"/>
      <c r="BM24" s="145"/>
      <c r="BN24" s="62"/>
      <c r="BO24" s="62"/>
      <c r="BP24" s="62"/>
      <c r="BQ24" s="62"/>
      <c r="BR24" s="62"/>
      <c r="BS24" s="62"/>
      <c r="BT24" s="62"/>
      <c r="BU24" s="62"/>
      <c r="BV24" s="62"/>
      <c r="BW24" s="62"/>
      <c r="BX24" s="62"/>
      <c r="BY24" s="62"/>
      <c r="BZ24" s="62"/>
      <c r="CA24" s="63"/>
      <c r="CB24" s="63"/>
      <c r="CC24" s="64"/>
      <c r="CD24" s="3"/>
      <c r="CE24" s="69"/>
      <c r="CF24" s="76"/>
      <c r="CG24" s="77"/>
      <c r="CH24" s="78"/>
      <c r="CI24" s="16"/>
      <c r="CJ24" s="77"/>
      <c r="CK24" s="43"/>
      <c r="CL24" s="138"/>
      <c r="CM24" s="16"/>
      <c r="CN24" s="165"/>
      <c r="CO24" s="16"/>
      <c r="CP24" s="138"/>
      <c r="CQ24" s="16"/>
      <c r="CR24" s="254"/>
    </row>
    <row r="25" spans="1:96" hidden="1" x14ac:dyDescent="0.25">
      <c r="A25" s="265" t="s">
        <v>121</v>
      </c>
      <c r="B25" s="90"/>
      <c r="C25" s="245">
        <v>0</v>
      </c>
      <c r="D25" s="238"/>
      <c r="E25" s="29">
        <f t="shared" si="9"/>
        <v>0</v>
      </c>
      <c r="F25" s="31">
        <v>0</v>
      </c>
      <c r="G25" s="31">
        <v>0</v>
      </c>
      <c r="H25" s="31">
        <v>0</v>
      </c>
      <c r="I25" s="132"/>
      <c r="J25" s="29">
        <v>0</v>
      </c>
      <c r="K25" s="31">
        <v>0</v>
      </c>
      <c r="L25" s="31">
        <v>0</v>
      </c>
      <c r="M25" s="31">
        <v>0</v>
      </c>
      <c r="N25" s="132"/>
      <c r="O25" s="29">
        <f t="shared" si="10"/>
        <v>0</v>
      </c>
      <c r="P25" s="31">
        <v>0</v>
      </c>
      <c r="Q25" s="31">
        <v>0</v>
      </c>
      <c r="R25" s="31">
        <v>0</v>
      </c>
      <c r="S25" s="132"/>
      <c r="T25" s="29">
        <f t="shared" si="11"/>
        <v>0</v>
      </c>
      <c r="U25" s="31">
        <v>0</v>
      </c>
      <c r="V25" s="31">
        <v>0</v>
      </c>
      <c r="W25" s="31">
        <v>0</v>
      </c>
      <c r="X25" s="29">
        <f t="shared" si="12"/>
        <v>0</v>
      </c>
      <c r="Y25" s="31">
        <v>0</v>
      </c>
      <c r="Z25" s="31">
        <v>0</v>
      </c>
      <c r="AA25" s="31">
        <v>0</v>
      </c>
      <c r="AB25" s="132"/>
      <c r="AC25" s="29">
        <v>55000</v>
      </c>
      <c r="AD25" s="31">
        <f t="shared" si="19"/>
        <v>0</v>
      </c>
      <c r="AE25" s="31">
        <f t="shared" si="20"/>
        <v>0</v>
      </c>
      <c r="AF25" s="31">
        <f t="shared" si="21"/>
        <v>0</v>
      </c>
      <c r="AG25" s="31"/>
      <c r="AH25" s="132"/>
      <c r="AI25" s="29">
        <v>0</v>
      </c>
      <c r="AJ25" s="97">
        <f t="shared" ref="AJ25:AJ36" si="24">SUM(AO25:AZ25)</f>
        <v>0</v>
      </c>
      <c r="AK25" s="97">
        <f t="shared" si="23"/>
        <v>0</v>
      </c>
      <c r="AL25" s="97">
        <f t="shared" si="22"/>
        <v>0</v>
      </c>
      <c r="AM25" s="31">
        <f t="shared" si="13"/>
        <v>0</v>
      </c>
      <c r="AN25" s="132"/>
      <c r="AO25" s="6"/>
      <c r="AP25" s="6"/>
      <c r="AQ25" s="42"/>
      <c r="AR25" s="42"/>
      <c r="AS25" s="42"/>
      <c r="AT25" s="5"/>
      <c r="AU25" s="5"/>
      <c r="AV25" s="6"/>
      <c r="AW25" s="6"/>
      <c r="AX25" s="6"/>
      <c r="AY25" s="6"/>
      <c r="AZ25" s="39"/>
      <c r="BA25" s="61"/>
      <c r="BB25" s="2"/>
      <c r="BC25" s="2"/>
      <c r="BD25" s="5"/>
      <c r="BE25" s="2"/>
      <c r="BF25" s="2"/>
      <c r="BG25" s="155"/>
      <c r="BH25" s="5"/>
      <c r="BI25" s="5"/>
      <c r="BJ25" s="5"/>
      <c r="BK25" s="5"/>
      <c r="BL25" s="171"/>
      <c r="BM25" s="145"/>
      <c r="BN25" s="62"/>
      <c r="BO25" s="62"/>
      <c r="BP25" s="62"/>
      <c r="BQ25" s="62"/>
      <c r="BR25" s="62"/>
      <c r="BS25" s="62"/>
      <c r="BT25" s="62"/>
      <c r="BU25" s="62"/>
      <c r="BV25" s="62"/>
      <c r="BW25" s="62"/>
      <c r="BX25" s="62"/>
      <c r="BY25" s="62"/>
      <c r="BZ25" s="62"/>
      <c r="CA25" s="63"/>
      <c r="CB25" s="63"/>
      <c r="CC25" s="64"/>
      <c r="CD25" s="3"/>
      <c r="CE25" s="69">
        <f t="shared" si="14"/>
        <v>0</v>
      </c>
      <c r="CF25" s="76">
        <f t="shared" si="15"/>
        <v>0</v>
      </c>
      <c r="CG25" s="77">
        <f t="shared" si="16"/>
        <v>0</v>
      </c>
      <c r="CH25" s="78">
        <f t="shared" si="17"/>
        <v>0</v>
      </c>
      <c r="CI25" s="16"/>
      <c r="CJ25" s="77">
        <f t="shared" si="18"/>
        <v>-55000</v>
      </c>
      <c r="CK25" s="43"/>
      <c r="CL25" s="138">
        <f t="shared" ref="CL25:CL36" si="25">CH25-C25</f>
        <v>0</v>
      </c>
      <c r="CM25" s="16"/>
      <c r="CN25" s="165"/>
      <c r="CO25" s="16"/>
      <c r="CP25" s="138"/>
      <c r="CQ25" s="16"/>
      <c r="CR25" s="254"/>
    </row>
    <row r="26" spans="1:96" x14ac:dyDescent="0.25">
      <c r="A26" s="261" t="s">
        <v>61</v>
      </c>
      <c r="B26" s="44"/>
      <c r="C26" s="245">
        <v>180000</v>
      </c>
      <c r="D26" s="238"/>
      <c r="E26" s="29">
        <f t="shared" si="9"/>
        <v>265148</v>
      </c>
      <c r="F26" s="31">
        <v>93380</v>
      </c>
      <c r="G26" s="31">
        <v>93240</v>
      </c>
      <c r="H26" s="31">
        <v>78528</v>
      </c>
      <c r="I26" s="132"/>
      <c r="J26" s="29">
        <v>265148</v>
      </c>
      <c r="K26" s="31">
        <v>93380</v>
      </c>
      <c r="L26" s="31">
        <v>93240</v>
      </c>
      <c r="M26" s="31">
        <v>78528</v>
      </c>
      <c r="N26" s="132"/>
      <c r="O26" s="29">
        <f t="shared" si="10"/>
        <v>265148</v>
      </c>
      <c r="P26" s="31">
        <v>93380</v>
      </c>
      <c r="Q26" s="31">
        <v>93240</v>
      </c>
      <c r="R26" s="31">
        <v>78528</v>
      </c>
      <c r="S26" s="132"/>
      <c r="T26" s="29">
        <f t="shared" si="11"/>
        <v>265148</v>
      </c>
      <c r="U26" s="31">
        <v>93380</v>
      </c>
      <c r="V26" s="31">
        <v>93240</v>
      </c>
      <c r="W26" s="31">
        <v>78528</v>
      </c>
      <c r="X26" s="29">
        <f t="shared" si="12"/>
        <v>265148</v>
      </c>
      <c r="Y26" s="31">
        <v>93380</v>
      </c>
      <c r="Z26" s="31">
        <v>93240</v>
      </c>
      <c r="AA26" s="31">
        <v>78528</v>
      </c>
      <c r="AB26" s="132"/>
      <c r="AC26" s="29">
        <v>265148</v>
      </c>
      <c r="AD26" s="31">
        <f t="shared" si="19"/>
        <v>93380</v>
      </c>
      <c r="AE26" s="31">
        <f t="shared" si="20"/>
        <v>85448</v>
      </c>
      <c r="AF26" s="31">
        <f t="shared" si="21"/>
        <v>0</v>
      </c>
      <c r="AG26" s="31"/>
      <c r="AH26" s="132"/>
      <c r="AI26" s="29">
        <v>0</v>
      </c>
      <c r="AJ26" s="97">
        <v>0</v>
      </c>
      <c r="AK26" s="97">
        <v>0</v>
      </c>
      <c r="AL26" s="97">
        <f t="shared" si="22"/>
        <v>0</v>
      </c>
      <c r="AM26" s="31">
        <f t="shared" si="13"/>
        <v>0</v>
      </c>
      <c r="AN26" s="132"/>
      <c r="AO26" s="6"/>
      <c r="AP26" s="6"/>
      <c r="AQ26" s="42"/>
      <c r="AR26" s="42"/>
      <c r="AS26" s="42"/>
      <c r="AT26" s="5"/>
      <c r="AU26" s="5"/>
      <c r="AV26" s="6"/>
      <c r="AW26" s="6"/>
      <c r="AX26" s="6"/>
      <c r="AY26" s="6"/>
      <c r="AZ26" s="39">
        <v>93380</v>
      </c>
      <c r="BA26" s="61">
        <v>7768</v>
      </c>
      <c r="BB26" s="5">
        <v>7768</v>
      </c>
      <c r="BC26" s="5">
        <v>7768</v>
      </c>
      <c r="BD26" s="5">
        <v>7768</v>
      </c>
      <c r="BE26" s="5">
        <v>7768</v>
      </c>
      <c r="BF26" s="5">
        <v>7768</v>
      </c>
      <c r="BG26" s="5">
        <v>7768</v>
      </c>
      <c r="BH26" s="5">
        <v>7768</v>
      </c>
      <c r="BI26" s="5">
        <v>7768</v>
      </c>
      <c r="BJ26" s="5">
        <v>7768</v>
      </c>
      <c r="BK26" s="5">
        <v>7768</v>
      </c>
      <c r="BL26" s="171">
        <v>0</v>
      </c>
      <c r="BM26" s="145">
        <v>0</v>
      </c>
      <c r="BN26" s="62">
        <v>0</v>
      </c>
      <c r="BO26" s="62">
        <f t="shared" ref="BO26:CA26" si="26">BN26</f>
        <v>0</v>
      </c>
      <c r="BP26" s="62">
        <f t="shared" si="26"/>
        <v>0</v>
      </c>
      <c r="BQ26" s="62">
        <f t="shared" si="26"/>
        <v>0</v>
      </c>
      <c r="BR26" s="62">
        <f t="shared" si="26"/>
        <v>0</v>
      </c>
      <c r="BS26" s="62">
        <f t="shared" si="26"/>
        <v>0</v>
      </c>
      <c r="BT26" s="62"/>
      <c r="BU26" s="62"/>
      <c r="BV26" s="62"/>
      <c r="BW26" s="62"/>
      <c r="BX26" s="62"/>
      <c r="BY26" s="62">
        <f>BS26</f>
        <v>0</v>
      </c>
      <c r="BZ26" s="62">
        <f t="shared" si="26"/>
        <v>0</v>
      </c>
      <c r="CA26" s="62">
        <f t="shared" si="26"/>
        <v>0</v>
      </c>
      <c r="CB26" s="63">
        <v>0</v>
      </c>
      <c r="CC26" s="64">
        <v>0</v>
      </c>
      <c r="CD26" s="3"/>
      <c r="CE26" s="69">
        <f t="shared" si="14"/>
        <v>93380</v>
      </c>
      <c r="CF26" s="76">
        <f t="shared" si="15"/>
        <v>85448</v>
      </c>
      <c r="CG26" s="77">
        <f t="shared" si="16"/>
        <v>0</v>
      </c>
      <c r="CH26" s="78">
        <f t="shared" si="17"/>
        <v>178828</v>
      </c>
      <c r="CI26" s="16"/>
      <c r="CJ26" s="77">
        <f t="shared" si="18"/>
        <v>-86320</v>
      </c>
      <c r="CK26" s="43"/>
      <c r="CL26" s="138">
        <f t="shared" si="25"/>
        <v>-1172</v>
      </c>
      <c r="CM26" s="16"/>
      <c r="CN26" s="165"/>
      <c r="CO26" s="16"/>
      <c r="CP26" s="138"/>
      <c r="CQ26" s="16"/>
      <c r="CR26" s="254"/>
    </row>
    <row r="27" spans="1:96" hidden="1" x14ac:dyDescent="0.25">
      <c r="A27" s="261" t="s">
        <v>126</v>
      </c>
      <c r="B27" s="44"/>
      <c r="C27" s="245">
        <v>0</v>
      </c>
      <c r="D27" s="238"/>
      <c r="E27" s="29">
        <f t="shared" si="9"/>
        <v>123540</v>
      </c>
      <c r="F27" s="31">
        <v>5389</v>
      </c>
      <c r="G27" s="31">
        <v>94451</v>
      </c>
      <c r="H27" s="31">
        <v>23700</v>
      </c>
      <c r="I27" s="132"/>
      <c r="J27" s="29">
        <v>123540</v>
      </c>
      <c r="K27" s="31">
        <v>5389</v>
      </c>
      <c r="L27" s="31">
        <v>94451</v>
      </c>
      <c r="M27" s="31">
        <v>23700</v>
      </c>
      <c r="N27" s="132"/>
      <c r="O27" s="29">
        <f t="shared" si="10"/>
        <v>123540</v>
      </c>
      <c r="P27" s="31">
        <v>5389</v>
      </c>
      <c r="Q27" s="31">
        <v>94451</v>
      </c>
      <c r="R27" s="31">
        <v>23700</v>
      </c>
      <c r="S27" s="132"/>
      <c r="T27" s="29">
        <f t="shared" si="11"/>
        <v>121972</v>
      </c>
      <c r="U27" s="31">
        <v>5389</v>
      </c>
      <c r="V27" s="31">
        <v>92883</v>
      </c>
      <c r="W27" s="31">
        <v>23700</v>
      </c>
      <c r="X27" s="29">
        <f t="shared" si="12"/>
        <v>121972</v>
      </c>
      <c r="Y27" s="31">
        <v>5389</v>
      </c>
      <c r="Z27" s="31">
        <v>92883</v>
      </c>
      <c r="AA27" s="31">
        <v>23700</v>
      </c>
      <c r="AB27" s="132"/>
      <c r="AC27" s="31">
        <v>109000</v>
      </c>
      <c r="AD27" s="31">
        <f t="shared" si="19"/>
        <v>5388</v>
      </c>
      <c r="AE27" s="31">
        <f t="shared" si="20"/>
        <v>73278</v>
      </c>
      <c r="AF27" s="31">
        <f t="shared" si="21"/>
        <v>0</v>
      </c>
      <c r="AG27" s="31"/>
      <c r="AH27" s="132"/>
      <c r="AI27" s="31">
        <v>0</v>
      </c>
      <c r="AJ27" s="97">
        <v>0</v>
      </c>
      <c r="AK27" s="97">
        <v>0</v>
      </c>
      <c r="AL27" s="97">
        <f t="shared" si="22"/>
        <v>0</v>
      </c>
      <c r="AM27" s="31">
        <f t="shared" si="13"/>
        <v>0</v>
      </c>
      <c r="AN27" s="132"/>
      <c r="AO27" s="6"/>
      <c r="AP27" s="6"/>
      <c r="AQ27" s="42"/>
      <c r="AR27" s="42"/>
      <c r="AS27" s="42"/>
      <c r="AT27" s="5"/>
      <c r="AU27" s="5"/>
      <c r="AV27" s="6"/>
      <c r="AW27" s="6"/>
      <c r="AX27" s="6"/>
      <c r="AY27" s="6"/>
      <c r="AZ27" s="39">
        <v>5388</v>
      </c>
      <c r="BA27" s="61">
        <f>3946+64+254+595</f>
        <v>4859</v>
      </c>
      <c r="BB27" s="126">
        <f>3946</f>
        <v>3946</v>
      </c>
      <c r="BC27" s="126">
        <f>3946+3+705</f>
        <v>4654</v>
      </c>
      <c r="BD27" s="126">
        <f>3946+4027+4027+10</f>
        <v>12010</v>
      </c>
      <c r="BE27" s="126">
        <f>3946+4027+41</f>
        <v>8014</v>
      </c>
      <c r="BF27" s="5">
        <v>7979</v>
      </c>
      <c r="BG27" s="5">
        <v>7978</v>
      </c>
      <c r="BH27" s="5">
        <v>7973</v>
      </c>
      <c r="BI27" s="5">
        <v>3946</v>
      </c>
      <c r="BJ27" s="5">
        <v>3946</v>
      </c>
      <c r="BK27" s="5">
        <f>3946+4027</f>
        <v>7973</v>
      </c>
      <c r="BL27" s="171">
        <v>0</v>
      </c>
      <c r="BM27" s="145">
        <v>0</v>
      </c>
      <c r="BN27" s="62">
        <v>0</v>
      </c>
      <c r="BO27" s="62">
        <v>0</v>
      </c>
      <c r="BP27" s="62">
        <v>0</v>
      </c>
      <c r="BQ27" s="62">
        <v>0</v>
      </c>
      <c r="BR27" s="62">
        <v>0</v>
      </c>
      <c r="BS27" s="62">
        <v>0</v>
      </c>
      <c r="BT27" s="62"/>
      <c r="BU27" s="62"/>
      <c r="BV27" s="62"/>
      <c r="BW27" s="62"/>
      <c r="BX27" s="62"/>
      <c r="BY27" s="62">
        <v>0</v>
      </c>
      <c r="BZ27" s="62">
        <v>0</v>
      </c>
      <c r="CA27" s="62">
        <v>0</v>
      </c>
      <c r="CB27" s="62">
        <v>0</v>
      </c>
      <c r="CC27" s="62">
        <v>0</v>
      </c>
      <c r="CD27" s="3"/>
      <c r="CE27" s="69">
        <f t="shared" si="14"/>
        <v>5388</v>
      </c>
      <c r="CF27" s="76">
        <f t="shared" si="15"/>
        <v>73278</v>
      </c>
      <c r="CG27" s="77">
        <f t="shared" si="16"/>
        <v>0</v>
      </c>
      <c r="CH27" s="78">
        <f t="shared" si="17"/>
        <v>78666</v>
      </c>
      <c r="CI27" s="16"/>
      <c r="CJ27" s="77">
        <f t="shared" si="18"/>
        <v>-30334</v>
      </c>
      <c r="CK27" s="43"/>
      <c r="CL27" s="138">
        <f t="shared" si="25"/>
        <v>78666</v>
      </c>
      <c r="CM27" s="16"/>
      <c r="CN27" s="165"/>
      <c r="CO27" s="16"/>
      <c r="CP27" s="138"/>
      <c r="CQ27" s="16"/>
      <c r="CR27" s="254"/>
    </row>
    <row r="28" spans="1:96" hidden="1" x14ac:dyDescent="0.25">
      <c r="A28" s="265" t="s">
        <v>62</v>
      </c>
      <c r="B28" s="90"/>
      <c r="C28" s="245">
        <v>0</v>
      </c>
      <c r="D28" s="238"/>
      <c r="E28" s="29">
        <f t="shared" si="9"/>
        <v>15000</v>
      </c>
      <c r="F28" s="30"/>
      <c r="G28" s="31">
        <v>10000</v>
      </c>
      <c r="H28" s="31">
        <v>5000</v>
      </c>
      <c r="I28" s="132"/>
      <c r="J28" s="29">
        <v>15000</v>
      </c>
      <c r="K28" s="30"/>
      <c r="L28" s="31">
        <v>10000</v>
      </c>
      <c r="M28" s="31">
        <v>5000</v>
      </c>
      <c r="N28" s="132"/>
      <c r="O28" s="29">
        <f t="shared" si="10"/>
        <v>15000</v>
      </c>
      <c r="P28" s="30"/>
      <c r="Q28" s="31">
        <v>10000</v>
      </c>
      <c r="R28" s="31">
        <v>5000</v>
      </c>
      <c r="S28" s="132"/>
      <c r="T28" s="29">
        <f t="shared" si="11"/>
        <v>15000</v>
      </c>
      <c r="U28" s="30"/>
      <c r="V28" s="31">
        <v>10000</v>
      </c>
      <c r="W28" s="31">
        <v>5000</v>
      </c>
      <c r="X28" s="29">
        <f t="shared" si="12"/>
        <v>15000</v>
      </c>
      <c r="Y28" s="30"/>
      <c r="Z28" s="31">
        <v>10000</v>
      </c>
      <c r="AA28" s="31">
        <v>5000</v>
      </c>
      <c r="AB28" s="132"/>
      <c r="AC28" s="29">
        <v>15000</v>
      </c>
      <c r="AD28" s="30">
        <f t="shared" si="19"/>
        <v>0</v>
      </c>
      <c r="AE28" s="31">
        <f t="shared" si="20"/>
        <v>4000</v>
      </c>
      <c r="AF28" s="31">
        <f t="shared" si="21"/>
        <v>0</v>
      </c>
      <c r="AG28" s="31"/>
      <c r="AH28" s="132"/>
      <c r="AI28" s="29">
        <v>0</v>
      </c>
      <c r="AJ28" s="97">
        <f t="shared" si="24"/>
        <v>0</v>
      </c>
      <c r="AK28" s="97">
        <v>0</v>
      </c>
      <c r="AL28" s="97">
        <f t="shared" si="22"/>
        <v>0</v>
      </c>
      <c r="AM28" s="31">
        <f t="shared" si="13"/>
        <v>0</v>
      </c>
      <c r="AN28" s="132"/>
      <c r="AO28" s="6"/>
      <c r="AP28" s="6"/>
      <c r="AQ28" s="42"/>
      <c r="AR28" s="42"/>
      <c r="AS28" s="42"/>
      <c r="AT28" s="5"/>
      <c r="AU28" s="5"/>
      <c r="AV28" s="6"/>
      <c r="AW28" s="6"/>
      <c r="AX28" s="6"/>
      <c r="AY28" s="6"/>
      <c r="AZ28" s="39"/>
      <c r="BA28" s="61"/>
      <c r="BB28" s="2"/>
      <c r="BC28" s="2"/>
      <c r="BD28" s="5"/>
      <c r="BE28" s="2"/>
      <c r="BF28" s="5">
        <v>4000</v>
      </c>
      <c r="BG28" s="155"/>
      <c r="BH28" s="5"/>
      <c r="BI28" s="5"/>
      <c r="BJ28" s="5"/>
      <c r="BK28" s="5"/>
      <c r="BL28" s="171"/>
      <c r="BM28" s="145">
        <v>0</v>
      </c>
      <c r="BN28" s="62">
        <v>0</v>
      </c>
      <c r="BO28" s="62"/>
      <c r="BP28" s="62">
        <v>0</v>
      </c>
      <c r="BQ28" s="62"/>
      <c r="BR28" s="62"/>
      <c r="BS28" s="62"/>
      <c r="BT28" s="62"/>
      <c r="BU28" s="62"/>
      <c r="BV28" s="62"/>
      <c r="BW28" s="62"/>
      <c r="BX28" s="62"/>
      <c r="BY28" s="62"/>
      <c r="BZ28" s="62"/>
      <c r="CA28" s="63"/>
      <c r="CB28" s="63"/>
      <c r="CC28" s="64"/>
      <c r="CD28" s="3"/>
      <c r="CE28" s="69">
        <f t="shared" si="14"/>
        <v>0</v>
      </c>
      <c r="CF28" s="76">
        <f t="shared" si="15"/>
        <v>4000</v>
      </c>
      <c r="CG28" s="77">
        <f t="shared" si="16"/>
        <v>0</v>
      </c>
      <c r="CH28" s="78">
        <f t="shared" si="17"/>
        <v>4000</v>
      </c>
      <c r="CI28" s="16"/>
      <c r="CJ28" s="77">
        <f t="shared" si="18"/>
        <v>-11000</v>
      </c>
      <c r="CK28" s="43"/>
      <c r="CL28" s="138">
        <f t="shared" si="25"/>
        <v>4000</v>
      </c>
      <c r="CM28" s="16"/>
      <c r="CN28" s="165"/>
      <c r="CO28" s="16"/>
      <c r="CP28" s="138"/>
      <c r="CQ28" s="16"/>
      <c r="CR28" s="254"/>
    </row>
    <row r="29" spans="1:96" hidden="1" x14ac:dyDescent="0.25">
      <c r="A29" s="265" t="s">
        <v>63</v>
      </c>
      <c r="B29" s="90"/>
      <c r="C29" s="245">
        <v>0</v>
      </c>
      <c r="D29" s="238"/>
      <c r="E29" s="29">
        <f t="shared" si="9"/>
        <v>58145</v>
      </c>
      <c r="F29" s="30">
        <v>3547</v>
      </c>
      <c r="G29" s="31">
        <v>30598</v>
      </c>
      <c r="H29" s="31">
        <v>24000</v>
      </c>
      <c r="I29" s="132"/>
      <c r="J29" s="29">
        <v>55211</v>
      </c>
      <c r="K29" s="30">
        <v>3547</v>
      </c>
      <c r="L29" s="31">
        <v>27664</v>
      </c>
      <c r="M29" s="31">
        <v>24000</v>
      </c>
      <c r="N29" s="132"/>
      <c r="O29" s="29">
        <f t="shared" si="10"/>
        <v>55211</v>
      </c>
      <c r="P29" s="30">
        <v>3547</v>
      </c>
      <c r="Q29" s="31">
        <v>27664</v>
      </c>
      <c r="R29" s="31">
        <v>24000</v>
      </c>
      <c r="S29" s="132"/>
      <c r="T29" s="29">
        <f t="shared" si="11"/>
        <v>55087</v>
      </c>
      <c r="U29" s="30">
        <v>3547</v>
      </c>
      <c r="V29" s="31">
        <v>27540</v>
      </c>
      <c r="W29" s="31">
        <v>24000</v>
      </c>
      <c r="X29" s="29">
        <f t="shared" si="12"/>
        <v>55087</v>
      </c>
      <c r="Y29" s="30">
        <v>3547</v>
      </c>
      <c r="Z29" s="31">
        <v>27540</v>
      </c>
      <c r="AA29" s="31">
        <v>24000</v>
      </c>
      <c r="AB29" s="132"/>
      <c r="AC29" s="31">
        <v>80000</v>
      </c>
      <c r="AD29" s="30">
        <f t="shared" si="19"/>
        <v>3547</v>
      </c>
      <c r="AE29" s="31">
        <f t="shared" si="20"/>
        <v>25543</v>
      </c>
      <c r="AF29" s="31">
        <f t="shared" si="21"/>
        <v>0</v>
      </c>
      <c r="AG29" s="31"/>
      <c r="AH29" s="132"/>
      <c r="AI29" s="31">
        <v>0</v>
      </c>
      <c r="AJ29" s="97">
        <v>0</v>
      </c>
      <c r="AK29" s="97">
        <v>0</v>
      </c>
      <c r="AL29" s="97">
        <f t="shared" si="22"/>
        <v>0</v>
      </c>
      <c r="AM29" s="31">
        <f t="shared" si="13"/>
        <v>0</v>
      </c>
      <c r="AN29" s="132"/>
      <c r="AO29" s="6"/>
      <c r="AP29" s="6"/>
      <c r="AQ29" s="42"/>
      <c r="AR29" s="42"/>
      <c r="AS29" s="42"/>
      <c r="AT29" s="5"/>
      <c r="AU29" s="5"/>
      <c r="AV29" s="6"/>
      <c r="AW29" s="6"/>
      <c r="AX29" s="6"/>
      <c r="AY29" s="6"/>
      <c r="AZ29" s="39">
        <v>3547</v>
      </c>
      <c r="BA29" s="61"/>
      <c r="BB29" s="5">
        <v>1701</v>
      </c>
      <c r="BC29" s="5">
        <v>2559</v>
      </c>
      <c r="BD29" s="126">
        <v>2559</v>
      </c>
      <c r="BE29" s="126">
        <f>2559</f>
        <v>2559</v>
      </c>
      <c r="BF29" s="5">
        <v>2559</v>
      </c>
      <c r="BG29" s="5">
        <v>2559</v>
      </c>
      <c r="BH29" s="5">
        <v>2559</v>
      </c>
      <c r="BI29" s="5">
        <v>3242</v>
      </c>
      <c r="BJ29" s="5">
        <v>2687</v>
      </c>
      <c r="BK29" s="5">
        <v>2559</v>
      </c>
      <c r="BL29" s="171">
        <v>0</v>
      </c>
      <c r="BM29" s="145">
        <v>0</v>
      </c>
      <c r="BN29" s="62">
        <v>0</v>
      </c>
      <c r="BO29" s="62">
        <v>0</v>
      </c>
      <c r="BP29" s="62">
        <v>0</v>
      </c>
      <c r="BQ29" s="62">
        <v>0</v>
      </c>
      <c r="BR29" s="62">
        <v>0</v>
      </c>
      <c r="BS29" s="62">
        <v>0</v>
      </c>
      <c r="BT29" s="62"/>
      <c r="BU29" s="62"/>
      <c r="BV29" s="62"/>
      <c r="BW29" s="62"/>
      <c r="BX29" s="62"/>
      <c r="BY29" s="62">
        <v>0</v>
      </c>
      <c r="BZ29" s="62">
        <v>0</v>
      </c>
      <c r="CA29" s="63">
        <v>0</v>
      </c>
      <c r="CB29" s="63">
        <v>0</v>
      </c>
      <c r="CC29" s="64">
        <v>0</v>
      </c>
      <c r="CD29" s="3"/>
      <c r="CE29" s="69">
        <f t="shared" si="14"/>
        <v>3547</v>
      </c>
      <c r="CF29" s="76">
        <f t="shared" si="15"/>
        <v>25543</v>
      </c>
      <c r="CG29" s="77">
        <f t="shared" si="16"/>
        <v>0</v>
      </c>
      <c r="CH29" s="78">
        <f t="shared" si="17"/>
        <v>29090</v>
      </c>
      <c r="CI29" s="16"/>
      <c r="CJ29" s="77">
        <f t="shared" si="18"/>
        <v>-50910</v>
      </c>
      <c r="CK29" s="43"/>
      <c r="CL29" s="138">
        <f t="shared" si="25"/>
        <v>29090</v>
      </c>
      <c r="CM29" s="16"/>
      <c r="CN29" s="165"/>
      <c r="CO29" s="16"/>
      <c r="CP29" s="138"/>
      <c r="CQ29" s="16"/>
      <c r="CR29" s="254"/>
    </row>
    <row r="30" spans="1:96" hidden="1" x14ac:dyDescent="0.25">
      <c r="A30" s="265" t="s">
        <v>123</v>
      </c>
      <c r="B30" s="90"/>
      <c r="C30" s="245">
        <v>0</v>
      </c>
      <c r="D30" s="238"/>
      <c r="E30" s="29">
        <f t="shared" si="9"/>
        <v>50000</v>
      </c>
      <c r="F30" s="30"/>
      <c r="G30" s="31">
        <v>50000</v>
      </c>
      <c r="H30" s="31"/>
      <c r="I30" s="132"/>
      <c r="J30" s="29">
        <v>50000</v>
      </c>
      <c r="K30" s="30"/>
      <c r="L30" s="31">
        <v>50000</v>
      </c>
      <c r="M30" s="31"/>
      <c r="N30" s="132"/>
      <c r="O30" s="29">
        <f t="shared" si="10"/>
        <v>50000</v>
      </c>
      <c r="P30" s="30"/>
      <c r="Q30" s="31">
        <v>50000</v>
      </c>
      <c r="R30" s="31"/>
      <c r="S30" s="132"/>
      <c r="T30" s="29">
        <f t="shared" si="11"/>
        <v>50000</v>
      </c>
      <c r="U30" s="30"/>
      <c r="V30" s="31">
        <v>50000</v>
      </c>
      <c r="W30" s="31"/>
      <c r="X30" s="29">
        <f t="shared" si="12"/>
        <v>50000</v>
      </c>
      <c r="Y30" s="30"/>
      <c r="Z30" s="31">
        <v>50000</v>
      </c>
      <c r="AA30" s="31"/>
      <c r="AB30" s="132"/>
      <c r="AC30" s="29">
        <v>50000</v>
      </c>
      <c r="AD30" s="30">
        <f t="shared" si="19"/>
        <v>0</v>
      </c>
      <c r="AE30" s="31">
        <f t="shared" si="20"/>
        <v>0</v>
      </c>
      <c r="AF30" s="31">
        <f t="shared" si="21"/>
        <v>0</v>
      </c>
      <c r="AG30" s="31"/>
      <c r="AH30" s="132"/>
      <c r="AI30" s="29">
        <v>0</v>
      </c>
      <c r="AJ30" s="97">
        <f t="shared" si="24"/>
        <v>0</v>
      </c>
      <c r="AK30" s="97">
        <f t="shared" si="23"/>
        <v>0</v>
      </c>
      <c r="AL30" s="97">
        <f t="shared" si="22"/>
        <v>0</v>
      </c>
      <c r="AM30" s="31">
        <f t="shared" si="13"/>
        <v>0</v>
      </c>
      <c r="AN30" s="132"/>
      <c r="AO30" s="6"/>
      <c r="AP30" s="6"/>
      <c r="AQ30" s="42"/>
      <c r="AR30" s="42"/>
      <c r="AS30" s="42"/>
      <c r="AT30" s="5"/>
      <c r="AU30" s="5"/>
      <c r="AV30" s="6"/>
      <c r="AW30" s="6"/>
      <c r="AX30" s="6"/>
      <c r="AY30" s="6"/>
      <c r="AZ30" s="39"/>
      <c r="BA30" s="61"/>
      <c r="BB30" s="2"/>
      <c r="BC30" s="2"/>
      <c r="BD30" s="5"/>
      <c r="BE30" s="2"/>
      <c r="BF30" s="2"/>
      <c r="BG30" s="155"/>
      <c r="BH30" s="5"/>
      <c r="BI30" s="5"/>
      <c r="BJ30" s="5"/>
      <c r="BK30" s="5">
        <v>0</v>
      </c>
      <c r="BL30" s="5">
        <v>0</v>
      </c>
      <c r="BM30" s="145"/>
      <c r="BN30" s="62"/>
      <c r="BO30" s="62"/>
      <c r="BP30" s="62"/>
      <c r="BQ30" s="62"/>
      <c r="BR30" s="62"/>
      <c r="BS30" s="62"/>
      <c r="BT30" s="62"/>
      <c r="BU30" s="62"/>
      <c r="BV30" s="62"/>
      <c r="BW30" s="62"/>
      <c r="BX30" s="62"/>
      <c r="BY30" s="62"/>
      <c r="BZ30" s="62"/>
      <c r="CA30" s="63"/>
      <c r="CB30" s="63"/>
      <c r="CC30" s="64"/>
      <c r="CD30" s="3"/>
      <c r="CE30" s="69">
        <f t="shared" si="14"/>
        <v>0</v>
      </c>
      <c r="CF30" s="76">
        <f t="shared" si="15"/>
        <v>0</v>
      </c>
      <c r="CG30" s="77">
        <f t="shared" si="16"/>
        <v>0</v>
      </c>
      <c r="CH30" s="78">
        <f t="shared" si="17"/>
        <v>0</v>
      </c>
      <c r="CI30" s="16"/>
      <c r="CJ30" s="77">
        <f t="shared" si="18"/>
        <v>-50000</v>
      </c>
      <c r="CK30" s="43"/>
      <c r="CL30" s="138">
        <f t="shared" si="25"/>
        <v>0</v>
      </c>
      <c r="CM30" s="16"/>
      <c r="CN30" s="165"/>
      <c r="CO30" s="16"/>
      <c r="CP30" s="138"/>
      <c r="CQ30" s="16"/>
      <c r="CR30" s="254"/>
    </row>
    <row r="31" spans="1:96" hidden="1" x14ac:dyDescent="0.25">
      <c r="A31" s="265" t="s">
        <v>124</v>
      </c>
      <c r="B31" s="90"/>
      <c r="C31" s="249">
        <v>0</v>
      </c>
      <c r="D31" s="238"/>
      <c r="E31" s="29">
        <f t="shared" si="9"/>
        <v>17451</v>
      </c>
      <c r="F31" s="30">
        <v>2435</v>
      </c>
      <c r="G31" s="31">
        <v>15016</v>
      </c>
      <c r="H31" s="31"/>
      <c r="I31" s="132"/>
      <c r="J31" s="29">
        <v>17451</v>
      </c>
      <c r="K31" s="30">
        <v>2435</v>
      </c>
      <c r="L31" s="31">
        <v>15016</v>
      </c>
      <c r="M31" s="31"/>
      <c r="N31" s="132"/>
      <c r="O31" s="29">
        <f t="shared" si="10"/>
        <v>17451</v>
      </c>
      <c r="P31" s="30">
        <v>2435</v>
      </c>
      <c r="Q31" s="31">
        <v>15016</v>
      </c>
      <c r="R31" s="31"/>
      <c r="S31" s="132"/>
      <c r="T31" s="29">
        <f t="shared" si="11"/>
        <v>17451</v>
      </c>
      <c r="U31" s="30">
        <v>2435</v>
      </c>
      <c r="V31" s="31">
        <v>15016</v>
      </c>
      <c r="W31" s="31"/>
      <c r="X31" s="29">
        <f t="shared" si="12"/>
        <v>17451</v>
      </c>
      <c r="Y31" s="30">
        <v>2435</v>
      </c>
      <c r="Z31" s="31">
        <v>15016</v>
      </c>
      <c r="AA31" s="31"/>
      <c r="AB31" s="132"/>
      <c r="AC31" s="31">
        <v>17000</v>
      </c>
      <c r="AD31" s="30">
        <f t="shared" si="19"/>
        <v>2435</v>
      </c>
      <c r="AE31" s="31">
        <f t="shared" si="20"/>
        <v>5400</v>
      </c>
      <c r="AF31" s="31">
        <f t="shared" si="21"/>
        <v>0</v>
      </c>
      <c r="AG31" s="31"/>
      <c r="AH31" s="132"/>
      <c r="AI31" s="31">
        <v>0</v>
      </c>
      <c r="AJ31" s="97">
        <v>0</v>
      </c>
      <c r="AK31" s="97">
        <v>0</v>
      </c>
      <c r="AL31" s="97">
        <f t="shared" si="22"/>
        <v>0</v>
      </c>
      <c r="AM31" s="31">
        <f t="shared" si="13"/>
        <v>0</v>
      </c>
      <c r="AN31" s="132"/>
      <c r="AO31" s="6"/>
      <c r="AP31" s="6"/>
      <c r="AQ31" s="42"/>
      <c r="AR31" s="42"/>
      <c r="AS31" s="42"/>
      <c r="AT31" s="5"/>
      <c r="AU31" s="5"/>
      <c r="AV31" s="6"/>
      <c r="AW31" s="6"/>
      <c r="AX31" s="6"/>
      <c r="AY31" s="6"/>
      <c r="AZ31" s="39">
        <v>2435</v>
      </c>
      <c r="BA31" s="61"/>
      <c r="BB31" s="5">
        <v>3600</v>
      </c>
      <c r="BC31" s="2"/>
      <c r="BD31" s="5">
        <v>1800</v>
      </c>
      <c r="BE31" s="2"/>
      <c r="BF31" s="2"/>
      <c r="BG31" s="155"/>
      <c r="BH31" s="5">
        <v>0</v>
      </c>
      <c r="BI31" s="5">
        <v>0</v>
      </c>
      <c r="BJ31" s="5">
        <v>0</v>
      </c>
      <c r="BK31" s="5">
        <v>0</v>
      </c>
      <c r="BL31" s="171">
        <v>0</v>
      </c>
      <c r="BM31" s="145">
        <v>0</v>
      </c>
      <c r="BN31" s="62"/>
      <c r="BO31" s="62"/>
      <c r="BP31" s="62"/>
      <c r="BQ31" s="62"/>
      <c r="BR31" s="62"/>
      <c r="BS31" s="62"/>
      <c r="BT31" s="62"/>
      <c r="BU31" s="62"/>
      <c r="BV31" s="62"/>
      <c r="BW31" s="62"/>
      <c r="BX31" s="62"/>
      <c r="BY31" s="62"/>
      <c r="BZ31" s="62"/>
      <c r="CA31" s="63"/>
      <c r="CB31" s="63"/>
      <c r="CC31" s="64"/>
      <c r="CD31" s="3"/>
      <c r="CE31" s="69">
        <f t="shared" si="14"/>
        <v>2435</v>
      </c>
      <c r="CF31" s="76">
        <f t="shared" si="15"/>
        <v>5400</v>
      </c>
      <c r="CG31" s="77">
        <f t="shared" si="16"/>
        <v>0</v>
      </c>
      <c r="CH31" s="78">
        <f t="shared" si="17"/>
        <v>7835</v>
      </c>
      <c r="CI31" s="16"/>
      <c r="CJ31" s="77">
        <f t="shared" si="18"/>
        <v>-9165</v>
      </c>
      <c r="CK31" s="43"/>
      <c r="CL31" s="138">
        <f t="shared" si="25"/>
        <v>7835</v>
      </c>
      <c r="CM31" s="16"/>
      <c r="CN31" s="165"/>
      <c r="CO31" s="16"/>
      <c r="CP31" s="138"/>
      <c r="CQ31" s="16"/>
      <c r="CR31" s="254"/>
    </row>
    <row r="32" spans="1:96" hidden="1" x14ac:dyDescent="0.25">
      <c r="A32" s="266" t="s">
        <v>64</v>
      </c>
      <c r="B32" s="90"/>
      <c r="C32" s="245">
        <v>0</v>
      </c>
      <c r="D32" s="238"/>
      <c r="E32" s="29"/>
      <c r="F32" s="30"/>
      <c r="G32" s="31"/>
      <c r="H32" s="31"/>
      <c r="I32" s="132"/>
      <c r="J32" s="29"/>
      <c r="K32" s="30"/>
      <c r="L32" s="31"/>
      <c r="M32" s="31"/>
      <c r="N32" s="132"/>
      <c r="O32" s="29"/>
      <c r="P32" s="30"/>
      <c r="Q32" s="31"/>
      <c r="R32" s="31"/>
      <c r="S32" s="132"/>
      <c r="T32" s="29">
        <f t="shared" si="11"/>
        <v>10000</v>
      </c>
      <c r="U32" s="30"/>
      <c r="V32" s="31">
        <v>10000</v>
      </c>
      <c r="W32" s="31"/>
      <c r="X32" s="29">
        <f t="shared" si="12"/>
        <v>10000</v>
      </c>
      <c r="Y32" s="30"/>
      <c r="Z32" s="31">
        <v>10000</v>
      </c>
      <c r="AA32" s="31"/>
      <c r="AB32" s="132"/>
      <c r="AC32" s="31">
        <v>0</v>
      </c>
      <c r="AD32" s="30">
        <f t="shared" si="19"/>
        <v>0</v>
      </c>
      <c r="AE32" s="31">
        <f t="shared" si="20"/>
        <v>0</v>
      </c>
      <c r="AF32" s="31">
        <f t="shared" si="21"/>
        <v>0</v>
      </c>
      <c r="AG32" s="31"/>
      <c r="AH32" s="132"/>
      <c r="AI32" s="31">
        <v>0</v>
      </c>
      <c r="AJ32" s="97">
        <f t="shared" si="24"/>
        <v>0</v>
      </c>
      <c r="AK32" s="97">
        <f t="shared" si="23"/>
        <v>0</v>
      </c>
      <c r="AL32" s="97">
        <f t="shared" si="22"/>
        <v>0</v>
      </c>
      <c r="AM32" s="31">
        <f t="shared" si="13"/>
        <v>0</v>
      </c>
      <c r="AN32" s="132"/>
      <c r="AO32" s="6"/>
      <c r="AP32" s="6"/>
      <c r="AQ32" s="42"/>
      <c r="AR32" s="42"/>
      <c r="AS32" s="42"/>
      <c r="AT32" s="5"/>
      <c r="AU32" s="5"/>
      <c r="AV32" s="6"/>
      <c r="AW32" s="6"/>
      <c r="AX32" s="6"/>
      <c r="AY32" s="6"/>
      <c r="AZ32" s="39"/>
      <c r="BA32" s="61"/>
      <c r="BB32" s="5"/>
      <c r="BC32" s="2"/>
      <c r="BD32" s="5"/>
      <c r="BE32" s="2"/>
      <c r="BF32" s="2"/>
      <c r="BG32" s="155"/>
      <c r="BH32" s="5"/>
      <c r="BI32" s="5"/>
      <c r="BJ32" s="5">
        <v>0</v>
      </c>
      <c r="BK32" s="5">
        <v>0</v>
      </c>
      <c r="BL32" s="5">
        <v>0</v>
      </c>
      <c r="BM32" s="145"/>
      <c r="BN32" s="62"/>
      <c r="BO32" s="62"/>
      <c r="BP32" s="62"/>
      <c r="BQ32" s="62"/>
      <c r="BR32" s="62"/>
      <c r="BS32" s="62"/>
      <c r="BT32" s="62"/>
      <c r="BU32" s="62"/>
      <c r="BV32" s="62"/>
      <c r="BW32" s="62"/>
      <c r="BX32" s="62"/>
      <c r="BY32" s="62"/>
      <c r="BZ32" s="62"/>
      <c r="CA32" s="63"/>
      <c r="CB32" s="63"/>
      <c r="CC32" s="64"/>
      <c r="CD32" s="3"/>
      <c r="CE32" s="69">
        <f t="shared" si="14"/>
        <v>0</v>
      </c>
      <c r="CF32" s="76">
        <f t="shared" si="15"/>
        <v>0</v>
      </c>
      <c r="CG32" s="77">
        <f t="shared" si="16"/>
        <v>0</v>
      </c>
      <c r="CH32" s="78">
        <f t="shared" si="17"/>
        <v>0</v>
      </c>
      <c r="CI32" s="16"/>
      <c r="CJ32" s="77">
        <f t="shared" si="18"/>
        <v>0</v>
      </c>
      <c r="CK32" s="43"/>
      <c r="CL32" s="138">
        <f t="shared" si="25"/>
        <v>0</v>
      </c>
      <c r="CM32" s="16"/>
      <c r="CN32" s="165"/>
      <c r="CO32" s="16"/>
      <c r="CP32" s="138"/>
      <c r="CQ32" s="16"/>
      <c r="CR32" s="254"/>
    </row>
    <row r="33" spans="1:96" hidden="1" x14ac:dyDescent="0.25">
      <c r="A33" s="265" t="s">
        <v>65</v>
      </c>
      <c r="B33" s="90"/>
      <c r="C33" s="245">
        <v>0</v>
      </c>
      <c r="D33" s="238"/>
      <c r="E33" s="29">
        <f>SUM(F33:H33)</f>
        <v>54000</v>
      </c>
      <c r="F33" s="30"/>
      <c r="G33" s="31">
        <v>54000</v>
      </c>
      <c r="H33" s="31"/>
      <c r="I33" s="132"/>
      <c r="J33" s="29">
        <v>54000</v>
      </c>
      <c r="K33" s="30"/>
      <c r="L33" s="31">
        <v>54000</v>
      </c>
      <c r="M33" s="31"/>
      <c r="N33" s="132"/>
      <c r="O33" s="29">
        <f t="shared" ref="O33:O36" si="27">SUM(P33:R33)</f>
        <v>54000</v>
      </c>
      <c r="P33" s="30"/>
      <c r="Q33" s="31">
        <v>54000</v>
      </c>
      <c r="R33" s="31"/>
      <c r="S33" s="132"/>
      <c r="T33" s="29">
        <f t="shared" si="11"/>
        <v>54000</v>
      </c>
      <c r="U33" s="30"/>
      <c r="V33" s="31">
        <v>54000</v>
      </c>
      <c r="W33" s="31"/>
      <c r="X33" s="29">
        <f t="shared" si="12"/>
        <v>54000</v>
      </c>
      <c r="Y33" s="30"/>
      <c r="Z33" s="31">
        <v>54000</v>
      </c>
      <c r="AA33" s="31"/>
      <c r="AB33" s="132"/>
      <c r="AC33" s="31">
        <v>40000</v>
      </c>
      <c r="AD33" s="30">
        <f t="shared" si="19"/>
        <v>0</v>
      </c>
      <c r="AE33" s="31">
        <f t="shared" si="20"/>
        <v>7541.5611111111066</v>
      </c>
      <c r="AF33" s="31">
        <f t="shared" si="21"/>
        <v>12000</v>
      </c>
      <c r="AG33" s="31"/>
      <c r="AH33" s="132"/>
      <c r="AI33" s="31">
        <v>0</v>
      </c>
      <c r="AJ33" s="97">
        <f t="shared" si="24"/>
        <v>0</v>
      </c>
      <c r="AK33" s="97">
        <v>0</v>
      </c>
      <c r="AL33" s="97">
        <v>0</v>
      </c>
      <c r="AM33" s="31">
        <f t="shared" si="13"/>
        <v>0</v>
      </c>
      <c r="AN33" s="132"/>
      <c r="AO33" s="6"/>
      <c r="AP33" s="6"/>
      <c r="AQ33" s="42"/>
      <c r="AR33" s="42"/>
      <c r="AS33" s="42"/>
      <c r="AT33" s="5"/>
      <c r="AU33" s="5"/>
      <c r="AV33" s="6"/>
      <c r="AW33" s="6"/>
      <c r="AX33" s="6"/>
      <c r="AY33" s="6"/>
      <c r="AZ33" s="39"/>
      <c r="BA33" s="61">
        <v>2269</v>
      </c>
      <c r="BB33" s="2"/>
      <c r="BC33" s="5">
        <v>8413</v>
      </c>
      <c r="BD33" s="5">
        <v>4813.1111111111113</v>
      </c>
      <c r="BE33" s="5">
        <v>-5213</v>
      </c>
      <c r="BF33" s="5">
        <v>6245</v>
      </c>
      <c r="BG33" s="5">
        <v>6245</v>
      </c>
      <c r="BH33" s="5">
        <v>8317.4500000000007</v>
      </c>
      <c r="BI33" s="5">
        <v>6245</v>
      </c>
      <c r="BJ33" s="5">
        <v>6245</v>
      </c>
      <c r="BK33" s="5">
        <v>-36038</v>
      </c>
      <c r="BL33" s="171">
        <v>0</v>
      </c>
      <c r="BM33" s="145"/>
      <c r="BN33" s="62">
        <f>8000/4+(6000/3)</f>
        <v>4000</v>
      </c>
      <c r="BO33" s="62">
        <f>8000/4+(6000/3)</f>
        <v>4000</v>
      </c>
      <c r="BP33" s="62">
        <f>8000/4+(6000/3)</f>
        <v>4000</v>
      </c>
      <c r="BQ33" s="62">
        <v>0</v>
      </c>
      <c r="BR33" s="62"/>
      <c r="BS33" s="62"/>
      <c r="BT33" s="62"/>
      <c r="BU33" s="62"/>
      <c r="BV33" s="62"/>
      <c r="BW33" s="62"/>
      <c r="BX33" s="62"/>
      <c r="BY33" s="62"/>
      <c r="BZ33" s="62"/>
      <c r="CA33" s="63"/>
      <c r="CB33" s="63"/>
      <c r="CC33" s="64"/>
      <c r="CD33" s="3"/>
      <c r="CE33" s="69">
        <f t="shared" si="14"/>
        <v>0</v>
      </c>
      <c r="CF33" s="76">
        <f t="shared" si="15"/>
        <v>7541.5611111111066</v>
      </c>
      <c r="CG33" s="77">
        <f t="shared" si="16"/>
        <v>12000</v>
      </c>
      <c r="CH33" s="78">
        <f t="shared" si="17"/>
        <v>19541.561111111107</v>
      </c>
      <c r="CI33" s="16"/>
      <c r="CJ33" s="77">
        <f t="shared" si="18"/>
        <v>-20458.438888888893</v>
      </c>
      <c r="CK33" s="43"/>
      <c r="CL33" s="138">
        <f t="shared" si="25"/>
        <v>19541.561111111107</v>
      </c>
      <c r="CM33" s="16"/>
      <c r="CN33" s="165"/>
      <c r="CO33" s="16"/>
      <c r="CP33" s="138"/>
      <c r="CQ33" s="16"/>
      <c r="CR33" s="254"/>
    </row>
    <row r="34" spans="1:96" hidden="1" x14ac:dyDescent="0.25">
      <c r="A34" s="265" t="s">
        <v>66</v>
      </c>
      <c r="B34" s="90"/>
      <c r="C34" s="245">
        <v>0</v>
      </c>
      <c r="D34" s="238"/>
      <c r="E34" s="29">
        <f>SUM(F34:H34)</f>
        <v>30000</v>
      </c>
      <c r="F34" s="30"/>
      <c r="G34" s="31">
        <v>30000</v>
      </c>
      <c r="H34" s="31"/>
      <c r="I34" s="132"/>
      <c r="J34" s="29">
        <v>30000</v>
      </c>
      <c r="K34" s="30"/>
      <c r="L34" s="31">
        <v>30000</v>
      </c>
      <c r="M34" s="31"/>
      <c r="N34" s="132"/>
      <c r="O34" s="29">
        <f t="shared" si="27"/>
        <v>30000</v>
      </c>
      <c r="P34" s="30"/>
      <c r="Q34" s="31">
        <v>30000</v>
      </c>
      <c r="R34" s="31"/>
      <c r="S34" s="132"/>
      <c r="T34" s="29">
        <f t="shared" si="11"/>
        <v>30000</v>
      </c>
      <c r="U34" s="30"/>
      <c r="V34" s="31">
        <v>30000</v>
      </c>
      <c r="W34" s="31"/>
      <c r="X34" s="29">
        <f t="shared" si="12"/>
        <v>30000</v>
      </c>
      <c r="Y34" s="30"/>
      <c r="Z34" s="31">
        <v>30000</v>
      </c>
      <c r="AA34" s="31"/>
      <c r="AB34" s="132"/>
      <c r="AC34" s="29">
        <v>30000</v>
      </c>
      <c r="AD34" s="30">
        <f t="shared" si="19"/>
        <v>0</v>
      </c>
      <c r="AE34" s="31">
        <f t="shared" si="20"/>
        <v>0</v>
      </c>
      <c r="AF34" s="31">
        <f t="shared" si="21"/>
        <v>30000</v>
      </c>
      <c r="AG34" s="31"/>
      <c r="AH34" s="132"/>
      <c r="AI34" s="29">
        <v>0</v>
      </c>
      <c r="AJ34" s="97">
        <f t="shared" si="24"/>
        <v>0</v>
      </c>
      <c r="AK34" s="97">
        <f t="shared" si="23"/>
        <v>0</v>
      </c>
      <c r="AL34" s="97">
        <v>0</v>
      </c>
      <c r="AM34" s="31">
        <f t="shared" si="13"/>
        <v>0</v>
      </c>
      <c r="AN34" s="132"/>
      <c r="AO34" s="6"/>
      <c r="AP34" s="6"/>
      <c r="AQ34" s="42"/>
      <c r="AR34" s="42"/>
      <c r="AS34" s="42"/>
      <c r="AT34" s="5"/>
      <c r="AU34" s="5"/>
      <c r="AV34" s="6"/>
      <c r="AW34" s="6"/>
      <c r="AX34" s="6"/>
      <c r="AY34" s="6"/>
      <c r="AZ34" s="39"/>
      <c r="BA34" s="61"/>
      <c r="BB34" s="2"/>
      <c r="BC34" s="2"/>
      <c r="BD34" s="5"/>
      <c r="BE34" s="2"/>
      <c r="BF34" s="5"/>
      <c r="BG34" s="155"/>
      <c r="BH34" s="5"/>
      <c r="BI34" s="5"/>
      <c r="BJ34" s="5"/>
      <c r="BK34" s="5"/>
      <c r="BL34" s="171"/>
      <c r="BM34" s="145">
        <v>10000</v>
      </c>
      <c r="BN34" s="62">
        <v>10000</v>
      </c>
      <c r="BO34" s="62">
        <v>10000</v>
      </c>
      <c r="BP34" s="62"/>
      <c r="BQ34" s="62"/>
      <c r="BR34" s="62"/>
      <c r="BS34" s="62"/>
      <c r="BT34" s="62"/>
      <c r="BU34" s="62"/>
      <c r="BV34" s="62"/>
      <c r="BW34" s="62"/>
      <c r="BX34" s="62"/>
      <c r="BY34" s="62"/>
      <c r="BZ34" s="62"/>
      <c r="CA34" s="63"/>
      <c r="CB34" s="63"/>
      <c r="CC34" s="64"/>
      <c r="CD34" s="3"/>
      <c r="CE34" s="69">
        <f t="shared" si="14"/>
        <v>0</v>
      </c>
      <c r="CF34" s="76">
        <f t="shared" si="15"/>
        <v>0</v>
      </c>
      <c r="CG34" s="77">
        <f t="shared" si="16"/>
        <v>30000</v>
      </c>
      <c r="CH34" s="78">
        <f t="shared" si="17"/>
        <v>30000</v>
      </c>
      <c r="CI34" s="16"/>
      <c r="CJ34" s="77">
        <f t="shared" si="18"/>
        <v>0</v>
      </c>
      <c r="CK34" s="43"/>
      <c r="CL34" s="138">
        <f t="shared" si="25"/>
        <v>30000</v>
      </c>
      <c r="CM34" s="16"/>
      <c r="CN34" s="165"/>
      <c r="CO34" s="16"/>
      <c r="CP34" s="138"/>
      <c r="CQ34" s="16"/>
      <c r="CR34" s="254"/>
    </row>
    <row r="35" spans="1:96" x14ac:dyDescent="0.25">
      <c r="A35" s="267" t="s">
        <v>129</v>
      </c>
      <c r="B35" s="44"/>
      <c r="C35" s="245">
        <v>60000</v>
      </c>
      <c r="D35" s="238"/>
      <c r="E35" s="29">
        <v>0</v>
      </c>
      <c r="F35" s="30"/>
      <c r="G35" s="31"/>
      <c r="H35" s="31"/>
      <c r="I35" s="132"/>
      <c r="J35" s="29">
        <v>51000</v>
      </c>
      <c r="K35" s="30"/>
      <c r="L35" s="31">
        <v>51000</v>
      </c>
      <c r="M35" s="31"/>
      <c r="N35" s="132"/>
      <c r="O35" s="29">
        <f t="shared" si="27"/>
        <v>52000</v>
      </c>
      <c r="P35" s="30"/>
      <c r="Q35" s="31">
        <v>52000</v>
      </c>
      <c r="R35" s="31"/>
      <c r="S35" s="132"/>
      <c r="T35" s="29">
        <f t="shared" si="11"/>
        <v>52000</v>
      </c>
      <c r="U35" s="30"/>
      <c r="V35" s="31">
        <v>52000</v>
      </c>
      <c r="W35" s="31"/>
      <c r="X35" s="29">
        <f t="shared" si="12"/>
        <v>52000</v>
      </c>
      <c r="Y35" s="30"/>
      <c r="Z35" s="31">
        <v>52000</v>
      </c>
      <c r="AA35" s="31"/>
      <c r="AB35" s="132"/>
      <c r="AC35" s="29">
        <v>0</v>
      </c>
      <c r="AD35" s="30">
        <f t="shared" si="19"/>
        <v>0</v>
      </c>
      <c r="AE35" s="31">
        <f t="shared" si="20"/>
        <v>43576</v>
      </c>
      <c r="AF35" s="31">
        <f t="shared" si="21"/>
        <v>12000</v>
      </c>
      <c r="AG35" s="31"/>
      <c r="AH35" s="132"/>
      <c r="AI35" s="29">
        <v>0</v>
      </c>
      <c r="AJ35" s="97">
        <f t="shared" si="24"/>
        <v>0</v>
      </c>
      <c r="AK35" s="97">
        <v>0</v>
      </c>
      <c r="AL35" s="97">
        <v>0</v>
      </c>
      <c r="AM35" s="31">
        <f t="shared" si="13"/>
        <v>0</v>
      </c>
      <c r="AN35" s="132"/>
      <c r="AO35" s="109"/>
      <c r="AP35" s="109"/>
      <c r="AQ35" s="109"/>
      <c r="AR35" s="109"/>
      <c r="AS35" s="109"/>
      <c r="AT35" s="109"/>
      <c r="AU35" s="109"/>
      <c r="AV35" s="109"/>
      <c r="AW35" s="109"/>
      <c r="AX35" s="109"/>
      <c r="AY35" s="109"/>
      <c r="AZ35" s="112"/>
      <c r="BA35" s="61"/>
      <c r="BB35" s="5"/>
      <c r="BC35" s="5">
        <v>3733</v>
      </c>
      <c r="BD35" s="5"/>
      <c r="BE35" s="2"/>
      <c r="BF35" s="5">
        <v>4242</v>
      </c>
      <c r="BG35" s="155"/>
      <c r="BH35" s="5">
        <v>0</v>
      </c>
      <c r="BI35" s="5">
        <v>6662</v>
      </c>
      <c r="BJ35" s="5">
        <v>0</v>
      </c>
      <c r="BK35" s="5">
        <v>13323</v>
      </c>
      <c r="BL35" s="171">
        <v>15616</v>
      </c>
      <c r="BM35" s="145"/>
      <c r="BN35" s="62">
        <v>6000</v>
      </c>
      <c r="BO35" s="62">
        <v>6000</v>
      </c>
      <c r="BP35" s="62"/>
      <c r="BQ35" s="62"/>
      <c r="BR35" s="62"/>
      <c r="BS35" s="62"/>
      <c r="BT35" s="62"/>
      <c r="BU35" s="62"/>
      <c r="BV35" s="62"/>
      <c r="BW35" s="62"/>
      <c r="BX35" s="62"/>
      <c r="BY35" s="62"/>
      <c r="BZ35" s="62"/>
      <c r="CA35" s="63"/>
      <c r="CB35" s="63"/>
      <c r="CC35" s="64"/>
      <c r="CD35" s="3"/>
      <c r="CE35" s="69">
        <f t="shared" si="14"/>
        <v>0</v>
      </c>
      <c r="CF35" s="76">
        <f t="shared" si="15"/>
        <v>43576</v>
      </c>
      <c r="CG35" s="77">
        <f t="shared" si="16"/>
        <v>12000</v>
      </c>
      <c r="CH35" s="78">
        <f t="shared" si="17"/>
        <v>55576</v>
      </c>
      <c r="CI35" s="16"/>
      <c r="CJ35" s="77">
        <f t="shared" si="18"/>
        <v>55576</v>
      </c>
      <c r="CK35" s="43"/>
      <c r="CL35" s="138">
        <f t="shared" si="25"/>
        <v>-4424</v>
      </c>
      <c r="CM35" s="16"/>
      <c r="CN35" s="165"/>
      <c r="CO35" s="16"/>
      <c r="CP35" s="138"/>
      <c r="CQ35" s="16"/>
      <c r="CR35" s="254"/>
    </row>
    <row r="36" spans="1:96" x14ac:dyDescent="0.25">
      <c r="A36" s="267" t="s">
        <v>67</v>
      </c>
      <c r="B36" s="44"/>
      <c r="C36" s="182">
        <f>SUM(C15:C35)*0.05</f>
        <v>23550</v>
      </c>
      <c r="D36" s="238"/>
      <c r="E36" s="29">
        <v>0</v>
      </c>
      <c r="F36" s="30"/>
      <c r="G36" s="31"/>
      <c r="H36" s="31"/>
      <c r="I36" s="132"/>
      <c r="J36" s="29">
        <v>789</v>
      </c>
      <c r="K36" s="30"/>
      <c r="L36" s="31">
        <v>789</v>
      </c>
      <c r="M36" s="31"/>
      <c r="N36" s="132"/>
      <c r="O36" s="29">
        <f t="shared" si="27"/>
        <v>4089</v>
      </c>
      <c r="P36" s="30"/>
      <c r="Q36" s="31">
        <f>789+3300</f>
        <v>4089</v>
      </c>
      <c r="R36" s="31"/>
      <c r="S36" s="132"/>
      <c r="T36" s="29">
        <f t="shared" si="11"/>
        <v>4089</v>
      </c>
      <c r="U36" s="30"/>
      <c r="V36" s="31">
        <f>789+3300</f>
        <v>4089</v>
      </c>
      <c r="W36" s="31"/>
      <c r="X36" s="29">
        <f t="shared" si="12"/>
        <v>4089</v>
      </c>
      <c r="Y36" s="30"/>
      <c r="Z36" s="31">
        <f>789+3300</f>
        <v>4089</v>
      </c>
      <c r="AA36" s="31"/>
      <c r="AB36" s="132"/>
      <c r="AC36" s="29">
        <v>0</v>
      </c>
      <c r="AD36" s="30">
        <f t="shared" si="19"/>
        <v>0</v>
      </c>
      <c r="AE36" s="31">
        <f t="shared" si="20"/>
        <v>3358</v>
      </c>
      <c r="AF36" s="31">
        <f t="shared" si="21"/>
        <v>0</v>
      </c>
      <c r="AG36" s="31"/>
      <c r="AH36" s="132"/>
      <c r="AI36" s="29">
        <v>0</v>
      </c>
      <c r="AJ36" s="97">
        <f t="shared" si="24"/>
        <v>0</v>
      </c>
      <c r="AK36" s="97">
        <v>0</v>
      </c>
      <c r="AL36" s="97">
        <f t="shared" si="22"/>
        <v>0</v>
      </c>
      <c r="AM36" s="31">
        <f t="shared" si="13"/>
        <v>0</v>
      </c>
      <c r="AN36" s="132"/>
      <c r="AO36" s="109"/>
      <c r="AP36" s="109"/>
      <c r="AQ36" s="109"/>
      <c r="AR36" s="109"/>
      <c r="AS36" s="109"/>
      <c r="AT36" s="109"/>
      <c r="AU36" s="109"/>
      <c r="AV36" s="109"/>
      <c r="AW36" s="109"/>
      <c r="AX36" s="109"/>
      <c r="AY36" s="109"/>
      <c r="AZ36" s="112"/>
      <c r="BA36" s="61"/>
      <c r="BB36" s="5"/>
      <c r="BC36" s="128">
        <f>789</f>
        <v>789</v>
      </c>
      <c r="BD36" s="142">
        <v>3300</v>
      </c>
      <c r="BE36" s="2"/>
      <c r="BF36" s="5"/>
      <c r="BG36" s="155"/>
      <c r="BH36" s="5">
        <v>-756</v>
      </c>
      <c r="BI36" s="5"/>
      <c r="BJ36" s="5"/>
      <c r="BK36" s="5"/>
      <c r="BL36" s="171">
        <v>25</v>
      </c>
      <c r="BM36" s="145"/>
      <c r="BN36" s="62"/>
      <c r="BO36" s="62"/>
      <c r="BP36" s="62"/>
      <c r="BQ36" s="62"/>
      <c r="BR36" s="62"/>
      <c r="BS36" s="62"/>
      <c r="BT36" s="62"/>
      <c r="BU36" s="62"/>
      <c r="BV36" s="62"/>
      <c r="BW36" s="62"/>
      <c r="BX36" s="62"/>
      <c r="BY36" s="62"/>
      <c r="BZ36" s="62"/>
      <c r="CA36" s="63"/>
      <c r="CB36" s="63"/>
      <c r="CC36" s="64"/>
      <c r="CD36" s="3"/>
      <c r="CE36" s="69">
        <f t="shared" si="14"/>
        <v>0</v>
      </c>
      <c r="CF36" s="76">
        <f t="shared" si="15"/>
        <v>3358</v>
      </c>
      <c r="CG36" s="77">
        <f t="shared" si="16"/>
        <v>0</v>
      </c>
      <c r="CH36" s="78">
        <f t="shared" si="17"/>
        <v>3358</v>
      </c>
      <c r="CI36" s="16"/>
      <c r="CJ36" s="77">
        <f t="shared" si="18"/>
        <v>3358</v>
      </c>
      <c r="CK36" s="43"/>
      <c r="CL36" s="138">
        <f t="shared" si="25"/>
        <v>-20192</v>
      </c>
      <c r="CM36" s="16"/>
      <c r="CN36" s="165"/>
      <c r="CO36" s="16"/>
      <c r="CP36" s="138"/>
      <c r="CQ36" s="16"/>
      <c r="CR36" s="254"/>
    </row>
    <row r="37" spans="1:96" x14ac:dyDescent="0.25">
      <c r="A37" s="258" t="s">
        <v>35</v>
      </c>
      <c r="B37" s="259"/>
      <c r="C37" s="183">
        <f>SUM(C15:C36)</f>
        <v>494550</v>
      </c>
      <c r="D37" s="238" t="e">
        <f>SUM(#REF!)</f>
        <v>#REF!</v>
      </c>
      <c r="E37" s="28">
        <f>SUM(E15:E36)</f>
        <v>773749</v>
      </c>
      <c r="F37" s="28">
        <f>SUM(F15:F36)</f>
        <v>144716</v>
      </c>
      <c r="G37" s="28">
        <f>SUM(G15:G36)</f>
        <v>497805</v>
      </c>
      <c r="H37" s="28">
        <f>SUM(H15:H36)</f>
        <v>131228</v>
      </c>
      <c r="I37" s="131"/>
      <c r="J37" s="28">
        <f>SUM(J15:J36)</f>
        <v>822604</v>
      </c>
      <c r="K37" s="28">
        <f>SUM(K15:K36)</f>
        <v>144716</v>
      </c>
      <c r="L37" s="28">
        <f>SUM(L15:L36)</f>
        <v>546660</v>
      </c>
      <c r="M37" s="28">
        <f>SUM(M15:M36)</f>
        <v>131228</v>
      </c>
      <c r="N37" s="131"/>
      <c r="O37" s="28">
        <f>SUM(O15:O36)</f>
        <v>826904</v>
      </c>
      <c r="P37" s="28">
        <f>SUM(P15:P36)</f>
        <v>144716</v>
      </c>
      <c r="Q37" s="28">
        <f>SUM(Q15:Q36)</f>
        <v>550960</v>
      </c>
      <c r="R37" s="28">
        <f>SUM(R15:R36)</f>
        <v>131228</v>
      </c>
      <c r="S37" s="151"/>
      <c r="T37" s="28">
        <f t="shared" ref="T37:AA37" si="28">SUM(T15:T36)</f>
        <v>835212</v>
      </c>
      <c r="U37" s="28">
        <f t="shared" si="28"/>
        <v>144716</v>
      </c>
      <c r="V37" s="28">
        <f t="shared" si="28"/>
        <v>559268</v>
      </c>
      <c r="W37" s="28">
        <f t="shared" si="28"/>
        <v>131228</v>
      </c>
      <c r="X37" s="28">
        <f t="shared" si="28"/>
        <v>835212</v>
      </c>
      <c r="Y37" s="28">
        <f t="shared" si="28"/>
        <v>144716</v>
      </c>
      <c r="Z37" s="28">
        <f t="shared" si="28"/>
        <v>559268</v>
      </c>
      <c r="AA37" s="28">
        <f t="shared" si="28"/>
        <v>131228</v>
      </c>
      <c r="AB37" s="131"/>
      <c r="AC37" s="28">
        <f>SUM(AC15:AC36)+16896</f>
        <v>838509</v>
      </c>
      <c r="AD37" s="28">
        <f>SUM(AD15:AD36)</f>
        <v>144715</v>
      </c>
      <c r="AE37" s="28">
        <f>SUM(AE15:AE36)</f>
        <v>350392.16111111105</v>
      </c>
      <c r="AF37" s="28">
        <f>SUM(AF15:AF36)</f>
        <v>54000</v>
      </c>
      <c r="AG37" s="28">
        <f t="shared" ref="AG37:AG60" si="29">AC37-SUM(AD37:AF37)</f>
        <v>289401.83888888895</v>
      </c>
      <c r="AH37" s="131"/>
      <c r="AI37" s="28">
        <f>SUM(AI15:AI36)</f>
        <v>0</v>
      </c>
      <c r="AJ37" s="28">
        <f>SUM(AJ15:AJ36)</f>
        <v>0</v>
      </c>
      <c r="AK37" s="28">
        <f>SUM(AK15:AK36)</f>
        <v>0</v>
      </c>
      <c r="AL37" s="28">
        <f>SUM(AL15:AL36)</f>
        <v>0</v>
      </c>
      <c r="AM37" s="28">
        <f>AI37-SUM(AJ37:AL37)</f>
        <v>0</v>
      </c>
      <c r="AN37" s="131"/>
      <c r="AO37" s="46">
        <f t="shared" ref="AO37:BS37" si="30">SUM(AO15:AO36)</f>
        <v>0</v>
      </c>
      <c r="AP37" s="46">
        <f t="shared" si="30"/>
        <v>0</v>
      </c>
      <c r="AQ37" s="49">
        <f t="shared" si="30"/>
        <v>0</v>
      </c>
      <c r="AR37" s="49">
        <f t="shared" si="30"/>
        <v>0</v>
      </c>
      <c r="AS37" s="49">
        <f t="shared" si="30"/>
        <v>0</v>
      </c>
      <c r="AT37" s="47">
        <f t="shared" si="30"/>
        <v>0</v>
      </c>
      <c r="AU37" s="47">
        <f t="shared" si="30"/>
        <v>0</v>
      </c>
      <c r="AV37" s="46">
        <f t="shared" si="30"/>
        <v>0</v>
      </c>
      <c r="AW37" s="46">
        <f t="shared" si="30"/>
        <v>0</v>
      </c>
      <c r="AX37" s="46">
        <f t="shared" si="30"/>
        <v>0</v>
      </c>
      <c r="AY37" s="46">
        <f t="shared" si="30"/>
        <v>0</v>
      </c>
      <c r="AZ37" s="48">
        <f t="shared" si="30"/>
        <v>144715</v>
      </c>
      <c r="BA37" s="65">
        <f t="shared" si="30"/>
        <v>26269</v>
      </c>
      <c r="BB37" s="47">
        <f t="shared" si="30"/>
        <v>38146</v>
      </c>
      <c r="BC37" s="47">
        <f t="shared" si="30"/>
        <v>29531</v>
      </c>
      <c r="BD37" s="47">
        <f t="shared" si="30"/>
        <v>43623.111111111109</v>
      </c>
      <c r="BE37" s="47">
        <f t="shared" si="30"/>
        <v>24501</v>
      </c>
      <c r="BF37" s="47">
        <f t="shared" si="30"/>
        <v>44166</v>
      </c>
      <c r="BG37" s="47">
        <f t="shared" si="30"/>
        <v>35922.800000000003</v>
      </c>
      <c r="BH37" s="47">
        <f t="shared" si="30"/>
        <v>35946.449999999997</v>
      </c>
      <c r="BI37" s="47">
        <f t="shared" si="30"/>
        <v>33549.4</v>
      </c>
      <c r="BJ37" s="47">
        <f t="shared" si="30"/>
        <v>26332.400000000001</v>
      </c>
      <c r="BK37" s="47">
        <f t="shared" si="30"/>
        <v>-3236</v>
      </c>
      <c r="BL37" s="173">
        <f t="shared" si="30"/>
        <v>15641</v>
      </c>
      <c r="BM37" s="144">
        <f t="shared" si="30"/>
        <v>10000</v>
      </c>
      <c r="BN37" s="66">
        <f t="shared" si="30"/>
        <v>20000</v>
      </c>
      <c r="BO37" s="66">
        <f t="shared" si="30"/>
        <v>20000</v>
      </c>
      <c r="BP37" s="66">
        <f t="shared" si="30"/>
        <v>4000</v>
      </c>
      <c r="BQ37" s="66">
        <f t="shared" si="30"/>
        <v>0</v>
      </c>
      <c r="BR37" s="66">
        <f t="shared" si="30"/>
        <v>0</v>
      </c>
      <c r="BS37" s="66">
        <f t="shared" si="30"/>
        <v>0</v>
      </c>
      <c r="BT37" s="66"/>
      <c r="BU37" s="66"/>
      <c r="BV37" s="66"/>
      <c r="BW37" s="66"/>
      <c r="BX37" s="66"/>
      <c r="BY37" s="66">
        <f>SUM(BY15:BY36)</f>
        <v>0</v>
      </c>
      <c r="BZ37" s="66">
        <f>SUM(BZ15:BZ36)</f>
        <v>0</v>
      </c>
      <c r="CA37" s="67">
        <f>SUM(CA15:CA36)</f>
        <v>0</v>
      </c>
      <c r="CB37" s="67">
        <f>SUM(CB15:CB36)</f>
        <v>0</v>
      </c>
      <c r="CC37" s="68">
        <f>SUM(CC15:CC36)</f>
        <v>0</v>
      </c>
      <c r="CD37" s="3"/>
      <c r="CE37" s="50">
        <f>SUM(CE15:CE36)</f>
        <v>144715</v>
      </c>
      <c r="CF37" s="82">
        <f>SUM(CF15:CF36)</f>
        <v>350392.16111111105</v>
      </c>
      <c r="CG37" s="83">
        <f>SUM(CG15:CG36)</f>
        <v>54000</v>
      </c>
      <c r="CH37" s="83">
        <f>SUM(CH15:CH36)</f>
        <v>549107.16111111105</v>
      </c>
      <c r="CI37" s="16"/>
      <c r="CJ37" s="83">
        <f>SUM(CJ15:CJ36)</f>
        <v>-272505.83888888895</v>
      </c>
      <c r="CK37" s="43"/>
      <c r="CL37" s="141" t="e">
        <f>SUM(CL15:CL36)</f>
        <v>#REF!</v>
      </c>
      <c r="CM37" s="16"/>
      <c r="CN37" s="168">
        <v>1250991</v>
      </c>
      <c r="CO37" s="16"/>
      <c r="CP37" s="138">
        <f>CH37-CN37</f>
        <v>-701883.83888888895</v>
      </c>
      <c r="CQ37" s="16"/>
      <c r="CR37" s="268"/>
    </row>
    <row r="38" spans="1:96" x14ac:dyDescent="0.25">
      <c r="A38" s="258"/>
      <c r="B38" s="259"/>
      <c r="C38" s="183"/>
      <c r="D38" s="238"/>
      <c r="E38" s="201"/>
      <c r="F38" s="199"/>
      <c r="G38" s="199"/>
      <c r="H38" s="200"/>
      <c r="I38" s="131"/>
      <c r="J38" s="201"/>
      <c r="K38" s="199"/>
      <c r="L38" s="199"/>
      <c r="M38" s="200"/>
      <c r="N38" s="131"/>
      <c r="O38" s="201"/>
      <c r="P38" s="199"/>
      <c r="Q38" s="199"/>
      <c r="R38" s="200"/>
      <c r="S38" s="151"/>
      <c r="T38" s="201"/>
      <c r="U38" s="199"/>
      <c r="V38" s="199"/>
      <c r="W38" s="200"/>
      <c r="X38" s="201"/>
      <c r="Y38" s="199"/>
      <c r="Z38" s="199"/>
      <c r="AA38" s="200"/>
      <c r="AB38" s="131"/>
      <c r="AC38" s="201"/>
      <c r="AD38" s="199"/>
      <c r="AE38" s="199"/>
      <c r="AF38" s="200"/>
      <c r="AG38" s="200"/>
      <c r="AH38" s="131"/>
      <c r="AI38" s="94"/>
      <c r="AJ38" s="94"/>
      <c r="AK38" s="94"/>
      <c r="AL38" s="94"/>
      <c r="AM38" s="94"/>
      <c r="AN38" s="131"/>
      <c r="AO38" s="202"/>
      <c r="AP38" s="203"/>
      <c r="AQ38" s="204"/>
      <c r="AR38" s="204"/>
      <c r="AS38" s="204"/>
      <c r="AT38" s="88"/>
      <c r="AU38" s="88"/>
      <c r="AV38" s="203"/>
      <c r="AW38" s="203"/>
      <c r="AX38" s="203"/>
      <c r="AY38" s="203"/>
      <c r="AZ38" s="203"/>
      <c r="BA38" s="205"/>
      <c r="BB38" s="88"/>
      <c r="BC38" s="88"/>
      <c r="BD38" s="88"/>
      <c r="BE38" s="88"/>
      <c r="BF38" s="47"/>
      <c r="BG38" s="47"/>
      <c r="BH38" s="47"/>
      <c r="BI38" s="47"/>
      <c r="BJ38" s="47"/>
      <c r="BK38" s="47"/>
      <c r="BL38" s="327"/>
      <c r="BM38" s="206"/>
      <c r="BN38" s="207"/>
      <c r="BO38" s="207"/>
      <c r="BP38" s="207"/>
      <c r="BQ38" s="207"/>
      <c r="BR38" s="207"/>
      <c r="BS38" s="207"/>
      <c r="BT38" s="207"/>
      <c r="BU38" s="207"/>
      <c r="BV38" s="207"/>
      <c r="BW38" s="207"/>
      <c r="BX38" s="207"/>
      <c r="BY38" s="207"/>
      <c r="BZ38" s="207"/>
      <c r="CA38" s="206"/>
      <c r="CB38" s="206"/>
      <c r="CC38" s="208"/>
      <c r="CD38" s="3"/>
      <c r="CE38" s="51"/>
      <c r="CF38" s="150"/>
      <c r="CG38" s="209"/>
      <c r="CH38" s="209"/>
      <c r="CI38" s="16"/>
      <c r="CJ38" s="209"/>
      <c r="CK38" s="43"/>
      <c r="CL38" s="210"/>
      <c r="CM38" s="16"/>
      <c r="CN38" s="211"/>
      <c r="CO38" s="16"/>
      <c r="CP38" s="212"/>
      <c r="CQ38" s="16"/>
      <c r="CR38" s="268"/>
    </row>
    <row r="39" spans="1:96" x14ac:dyDescent="0.25">
      <c r="A39" s="258" t="s">
        <v>178</v>
      </c>
      <c r="B39" s="259"/>
      <c r="C39" s="183"/>
      <c r="D39" s="238"/>
      <c r="E39" s="201"/>
      <c r="F39" s="199"/>
      <c r="G39" s="199"/>
      <c r="H39" s="200"/>
      <c r="I39" s="131"/>
      <c r="J39" s="201"/>
      <c r="K39" s="199"/>
      <c r="L39" s="199"/>
      <c r="M39" s="200"/>
      <c r="N39" s="131"/>
      <c r="O39" s="201"/>
      <c r="P39" s="199"/>
      <c r="Q39" s="199"/>
      <c r="R39" s="200"/>
      <c r="S39" s="151"/>
      <c r="T39" s="201"/>
      <c r="U39" s="199"/>
      <c r="V39" s="199"/>
      <c r="W39" s="200"/>
      <c r="X39" s="201"/>
      <c r="Y39" s="199"/>
      <c r="Z39" s="199"/>
      <c r="AA39" s="200"/>
      <c r="AB39" s="131"/>
      <c r="AC39" s="201"/>
      <c r="AD39" s="199"/>
      <c r="AE39" s="199"/>
      <c r="AF39" s="200"/>
      <c r="AG39" s="200"/>
      <c r="AH39" s="131"/>
      <c r="AI39" s="94"/>
      <c r="AJ39" s="94"/>
      <c r="AK39" s="94"/>
      <c r="AL39" s="94"/>
      <c r="AM39" s="94"/>
      <c r="AN39" s="131"/>
      <c r="AO39" s="202"/>
      <c r="AP39" s="203"/>
      <c r="AQ39" s="204"/>
      <c r="AR39" s="204"/>
      <c r="AS39" s="204"/>
      <c r="AT39" s="88"/>
      <c r="AU39" s="88"/>
      <c r="AV39" s="203"/>
      <c r="AW39" s="203"/>
      <c r="AX39" s="203"/>
      <c r="AY39" s="203"/>
      <c r="AZ39" s="203"/>
      <c r="BA39" s="205"/>
      <c r="BB39" s="88"/>
      <c r="BC39" s="88"/>
      <c r="BD39" s="88"/>
      <c r="BE39" s="88"/>
      <c r="BF39" s="47"/>
      <c r="BG39" s="47"/>
      <c r="BH39" s="47"/>
      <c r="BI39" s="47"/>
      <c r="BJ39" s="47"/>
      <c r="BK39" s="47"/>
      <c r="BL39" s="327"/>
      <c r="BM39" s="206"/>
      <c r="BN39" s="207"/>
      <c r="BO39" s="207"/>
      <c r="BP39" s="207"/>
      <c r="BQ39" s="207"/>
      <c r="BR39" s="207"/>
      <c r="BS39" s="207"/>
      <c r="BT39" s="207"/>
      <c r="BU39" s="207"/>
      <c r="BV39" s="207"/>
      <c r="BW39" s="207"/>
      <c r="BX39" s="207"/>
      <c r="BY39" s="207"/>
      <c r="BZ39" s="207"/>
      <c r="CA39" s="206"/>
      <c r="CB39" s="206"/>
      <c r="CC39" s="208"/>
      <c r="CD39" s="3"/>
      <c r="CE39" s="51"/>
      <c r="CF39" s="150"/>
      <c r="CG39" s="209"/>
      <c r="CH39" s="209"/>
      <c r="CI39" s="16"/>
      <c r="CJ39" s="209"/>
      <c r="CK39" s="43"/>
      <c r="CL39" s="210"/>
      <c r="CM39" s="16"/>
      <c r="CN39" s="211"/>
      <c r="CO39" s="16"/>
      <c r="CP39" s="212"/>
      <c r="CQ39" s="16"/>
      <c r="CR39" s="268"/>
    </row>
    <row r="40" spans="1:96" x14ac:dyDescent="0.25">
      <c r="A40" s="261" t="s">
        <v>180</v>
      </c>
      <c r="B40" s="259"/>
      <c r="C40" s="183">
        <f>'Reslience Options costs'!O61</f>
        <v>605942.06999999995</v>
      </c>
      <c r="D40" s="238"/>
      <c r="E40" s="201"/>
      <c r="F40" s="199"/>
      <c r="G40" s="199"/>
      <c r="H40" s="200"/>
      <c r="I40" s="131"/>
      <c r="J40" s="201"/>
      <c r="K40" s="199"/>
      <c r="L40" s="199"/>
      <c r="M40" s="200"/>
      <c r="N40" s="131"/>
      <c r="O40" s="201"/>
      <c r="P40" s="199"/>
      <c r="Q40" s="199"/>
      <c r="R40" s="200"/>
      <c r="S40" s="151"/>
      <c r="T40" s="201"/>
      <c r="U40" s="199"/>
      <c r="V40" s="199"/>
      <c r="W40" s="200"/>
      <c r="X40" s="201"/>
      <c r="Y40" s="199"/>
      <c r="Z40" s="199"/>
      <c r="AA40" s="200"/>
      <c r="AB40" s="131"/>
      <c r="AC40" s="201"/>
      <c r="AD40" s="199"/>
      <c r="AE40" s="199"/>
      <c r="AF40" s="200"/>
      <c r="AG40" s="200"/>
      <c r="AH40" s="131"/>
      <c r="AI40" s="94"/>
      <c r="AJ40" s="94"/>
      <c r="AK40" s="94"/>
      <c r="AL40" s="94"/>
      <c r="AM40" s="94"/>
      <c r="AN40" s="131"/>
      <c r="AO40" s="202"/>
      <c r="AP40" s="203"/>
      <c r="AQ40" s="204"/>
      <c r="AR40" s="204"/>
      <c r="AS40" s="204"/>
      <c r="AT40" s="88"/>
      <c r="AU40" s="88"/>
      <c r="AV40" s="203"/>
      <c r="AW40" s="203"/>
      <c r="AX40" s="203"/>
      <c r="AY40" s="203"/>
      <c r="AZ40" s="203"/>
      <c r="BA40" s="205"/>
      <c r="BB40" s="88"/>
      <c r="BC40" s="88"/>
      <c r="BD40" s="88"/>
      <c r="BE40" s="88"/>
      <c r="BF40" s="47"/>
      <c r="BG40" s="47"/>
      <c r="BH40" s="47"/>
      <c r="BI40" s="47"/>
      <c r="BJ40" s="47"/>
      <c r="BK40" s="47"/>
      <c r="BL40" s="327"/>
      <c r="BM40" s="206"/>
      <c r="BN40" s="207"/>
      <c r="BO40" s="207"/>
      <c r="BP40" s="207"/>
      <c r="BQ40" s="207"/>
      <c r="BR40" s="207"/>
      <c r="BS40" s="207"/>
      <c r="BT40" s="207"/>
      <c r="BU40" s="207"/>
      <c r="BV40" s="207"/>
      <c r="BW40" s="207"/>
      <c r="BX40" s="207"/>
      <c r="BY40" s="207"/>
      <c r="BZ40" s="207"/>
      <c r="CA40" s="206"/>
      <c r="CB40" s="206"/>
      <c r="CC40" s="208"/>
      <c r="CD40" s="3"/>
      <c r="CE40" s="51"/>
      <c r="CF40" s="150"/>
      <c r="CG40" s="209"/>
      <c r="CH40" s="209"/>
      <c r="CI40" s="16"/>
      <c r="CJ40" s="209"/>
      <c r="CK40" s="43"/>
      <c r="CL40" s="210"/>
      <c r="CM40" s="16"/>
      <c r="CN40" s="211"/>
      <c r="CO40" s="16"/>
      <c r="CP40" s="212"/>
      <c r="CQ40" s="16"/>
      <c r="CR40" s="268"/>
    </row>
    <row r="41" spans="1:96" x14ac:dyDescent="0.25">
      <c r="A41" s="261" t="s">
        <v>179</v>
      </c>
      <c r="B41" s="259"/>
      <c r="C41" s="183">
        <f>'Reslience Options costs'!O60</f>
        <v>769943.14999999991</v>
      </c>
      <c r="D41" s="238"/>
      <c r="E41" s="201"/>
      <c r="F41" s="199"/>
      <c r="G41" s="199"/>
      <c r="H41" s="200"/>
      <c r="I41" s="131"/>
      <c r="J41" s="201"/>
      <c r="K41" s="199"/>
      <c r="L41" s="199"/>
      <c r="M41" s="200"/>
      <c r="N41" s="131"/>
      <c r="O41" s="201"/>
      <c r="P41" s="199"/>
      <c r="Q41" s="199"/>
      <c r="R41" s="200"/>
      <c r="S41" s="151"/>
      <c r="T41" s="201"/>
      <c r="U41" s="199"/>
      <c r="V41" s="199"/>
      <c r="W41" s="200"/>
      <c r="X41" s="201"/>
      <c r="Y41" s="199"/>
      <c r="Z41" s="199"/>
      <c r="AA41" s="200"/>
      <c r="AB41" s="131"/>
      <c r="AC41" s="201"/>
      <c r="AD41" s="199"/>
      <c r="AE41" s="199"/>
      <c r="AF41" s="200"/>
      <c r="AG41" s="200"/>
      <c r="AH41" s="131"/>
      <c r="AI41" s="94"/>
      <c r="AJ41" s="94"/>
      <c r="AK41" s="94"/>
      <c r="AL41" s="94"/>
      <c r="AM41" s="94"/>
      <c r="AN41" s="131"/>
      <c r="AO41" s="202"/>
      <c r="AP41" s="203"/>
      <c r="AQ41" s="204"/>
      <c r="AR41" s="204"/>
      <c r="AS41" s="204"/>
      <c r="AT41" s="88"/>
      <c r="AU41" s="88"/>
      <c r="AV41" s="203"/>
      <c r="AW41" s="203"/>
      <c r="AX41" s="203"/>
      <c r="AY41" s="203"/>
      <c r="AZ41" s="203"/>
      <c r="BA41" s="205"/>
      <c r="BB41" s="88"/>
      <c r="BC41" s="88"/>
      <c r="BD41" s="88"/>
      <c r="BE41" s="88"/>
      <c r="BF41" s="47"/>
      <c r="BG41" s="47"/>
      <c r="BH41" s="47"/>
      <c r="BI41" s="47"/>
      <c r="BJ41" s="47"/>
      <c r="BK41" s="47"/>
      <c r="BL41" s="47"/>
      <c r="BM41" s="206"/>
      <c r="BN41" s="207"/>
      <c r="BO41" s="207"/>
      <c r="BP41" s="207"/>
      <c r="BQ41" s="207"/>
      <c r="BR41" s="207"/>
      <c r="BS41" s="207"/>
      <c r="BT41" s="207"/>
      <c r="BU41" s="207"/>
      <c r="BV41" s="207"/>
      <c r="BW41" s="207"/>
      <c r="BX41" s="207"/>
      <c r="BY41" s="207"/>
      <c r="BZ41" s="207"/>
      <c r="CA41" s="206"/>
      <c r="CB41" s="206"/>
      <c r="CC41" s="208"/>
      <c r="CD41" s="3"/>
      <c r="CE41" s="51"/>
      <c r="CF41" s="150"/>
      <c r="CG41" s="209"/>
      <c r="CH41" s="209"/>
      <c r="CI41" s="16"/>
      <c r="CJ41" s="209"/>
      <c r="CK41" s="43"/>
      <c r="CL41" s="210"/>
      <c r="CM41" s="16"/>
      <c r="CN41" s="211"/>
      <c r="CO41" s="16"/>
      <c r="CP41" s="212"/>
      <c r="CQ41" s="16"/>
      <c r="CR41" s="268"/>
    </row>
    <row r="42" spans="1:96" x14ac:dyDescent="0.25">
      <c r="A42" s="258" t="s">
        <v>35</v>
      </c>
      <c r="B42" s="259"/>
      <c r="C42" s="183">
        <f>C40-C41</f>
        <v>-164001.07999999996</v>
      </c>
      <c r="D42" s="238"/>
      <c r="E42" s="131"/>
      <c r="F42" s="131"/>
      <c r="G42" s="131"/>
      <c r="H42" s="131"/>
      <c r="I42" s="131"/>
      <c r="J42" s="131"/>
      <c r="K42" s="131"/>
      <c r="L42" s="131"/>
      <c r="M42" s="131"/>
      <c r="N42" s="131"/>
      <c r="O42" s="131"/>
      <c r="P42" s="131"/>
      <c r="Q42" s="131"/>
      <c r="R42" s="131"/>
      <c r="S42" s="151"/>
      <c r="T42" s="131"/>
      <c r="U42" s="131"/>
      <c r="V42" s="131"/>
      <c r="W42" s="131"/>
      <c r="X42" s="131"/>
      <c r="Y42" s="131"/>
      <c r="Z42" s="131"/>
      <c r="AA42" s="131"/>
      <c r="AB42" s="131"/>
      <c r="AC42" s="131"/>
      <c r="AD42" s="131"/>
      <c r="AE42" s="131"/>
      <c r="AF42" s="131"/>
      <c r="AG42" s="131"/>
      <c r="AH42" s="131"/>
      <c r="AI42" s="131"/>
      <c r="AJ42" s="131"/>
      <c r="AK42" s="131"/>
      <c r="AL42" s="131"/>
      <c r="AM42" s="131"/>
      <c r="AN42" s="131"/>
      <c r="AO42" s="203"/>
      <c r="AP42" s="203"/>
      <c r="AQ42" s="204"/>
      <c r="AR42" s="204"/>
      <c r="AS42" s="204"/>
      <c r="AT42" s="88"/>
      <c r="AU42" s="88"/>
      <c r="AV42" s="203"/>
      <c r="AW42" s="203"/>
      <c r="AX42" s="203"/>
      <c r="AY42" s="203"/>
      <c r="AZ42" s="203"/>
      <c r="BA42" s="88"/>
      <c r="BB42" s="88"/>
      <c r="BC42" s="88"/>
      <c r="BD42" s="88"/>
      <c r="BE42" s="88"/>
      <c r="BF42" s="47"/>
      <c r="BG42" s="47"/>
      <c r="BH42" s="47"/>
      <c r="BI42" s="47"/>
      <c r="BJ42" s="47"/>
      <c r="BK42" s="47"/>
      <c r="BL42" s="47"/>
      <c r="BM42" s="206"/>
      <c r="BN42" s="207"/>
      <c r="BO42" s="207"/>
      <c r="BP42" s="207"/>
      <c r="BQ42" s="207"/>
      <c r="BR42" s="207"/>
      <c r="BS42" s="207"/>
      <c r="BT42" s="207"/>
      <c r="BU42" s="207"/>
      <c r="BV42" s="207"/>
      <c r="BW42" s="207"/>
      <c r="BX42" s="207"/>
      <c r="BY42" s="207"/>
      <c r="BZ42" s="207"/>
      <c r="CA42" s="206"/>
      <c r="CB42" s="206"/>
      <c r="CC42" s="208"/>
      <c r="CD42" s="3"/>
      <c r="CE42" s="51"/>
      <c r="CF42" s="150"/>
      <c r="CG42" s="209"/>
      <c r="CH42" s="209"/>
      <c r="CI42" s="16"/>
      <c r="CJ42" s="209"/>
      <c r="CK42" s="43"/>
      <c r="CL42" s="210"/>
      <c r="CM42" s="16"/>
      <c r="CN42" s="211"/>
      <c r="CO42" s="16"/>
      <c r="CP42" s="212"/>
      <c r="CQ42" s="16"/>
      <c r="CR42" s="268"/>
    </row>
    <row r="43" spans="1:96" x14ac:dyDescent="0.25">
      <c r="A43" s="258"/>
      <c r="B43" s="259"/>
      <c r="C43" s="183"/>
      <c r="D43" s="238"/>
      <c r="E43" s="131"/>
      <c r="F43" s="131"/>
      <c r="G43" s="131"/>
      <c r="H43" s="131"/>
      <c r="I43" s="131"/>
      <c r="J43" s="131"/>
      <c r="K43" s="131"/>
      <c r="L43" s="131"/>
      <c r="M43" s="131"/>
      <c r="N43" s="131"/>
      <c r="O43" s="131"/>
      <c r="P43" s="131"/>
      <c r="Q43" s="131"/>
      <c r="R43" s="131"/>
      <c r="S43" s="151"/>
      <c r="T43" s="131"/>
      <c r="U43" s="131"/>
      <c r="V43" s="131"/>
      <c r="W43" s="131"/>
      <c r="X43" s="131"/>
      <c r="Y43" s="131"/>
      <c r="Z43" s="131"/>
      <c r="AA43" s="131"/>
      <c r="AB43" s="131"/>
      <c r="AC43" s="131"/>
      <c r="AD43" s="131"/>
      <c r="AE43" s="131"/>
      <c r="AF43" s="131"/>
      <c r="AG43" s="131"/>
      <c r="AH43" s="131"/>
      <c r="AI43" s="131"/>
      <c r="AJ43" s="131"/>
      <c r="AK43" s="131"/>
      <c r="AL43" s="131"/>
      <c r="AM43" s="131"/>
      <c r="AN43" s="131"/>
      <c r="AO43" s="203"/>
      <c r="AP43" s="203"/>
      <c r="AQ43" s="204"/>
      <c r="AR43" s="204"/>
      <c r="AS43" s="204"/>
      <c r="AT43" s="88"/>
      <c r="AU43" s="88"/>
      <c r="AV43" s="203"/>
      <c r="AW43" s="203"/>
      <c r="AX43" s="203"/>
      <c r="AY43" s="203"/>
      <c r="AZ43" s="203"/>
      <c r="BA43" s="88"/>
      <c r="BB43" s="88"/>
      <c r="BC43" s="88"/>
      <c r="BD43" s="88"/>
      <c r="BE43" s="88"/>
      <c r="BF43" s="47"/>
      <c r="BG43" s="47"/>
      <c r="BH43" s="47"/>
      <c r="BI43" s="47"/>
      <c r="BJ43" s="47"/>
      <c r="BK43" s="47"/>
      <c r="BL43" s="47"/>
      <c r="BM43" s="206"/>
      <c r="BN43" s="207"/>
      <c r="BO43" s="207"/>
      <c r="BP43" s="207"/>
      <c r="BQ43" s="207"/>
      <c r="BR43" s="207"/>
      <c r="BS43" s="207"/>
      <c r="BT43" s="207"/>
      <c r="BU43" s="207"/>
      <c r="BV43" s="207"/>
      <c r="BW43" s="207"/>
      <c r="BX43" s="207"/>
      <c r="BY43" s="207"/>
      <c r="BZ43" s="207"/>
      <c r="CA43" s="206"/>
      <c r="CB43" s="206"/>
      <c r="CC43" s="208"/>
      <c r="CD43" s="3"/>
      <c r="CE43" s="51"/>
      <c r="CF43" s="150"/>
      <c r="CG43" s="209"/>
      <c r="CH43" s="209"/>
      <c r="CI43" s="16"/>
      <c r="CJ43" s="209"/>
      <c r="CK43" s="43"/>
      <c r="CL43" s="210"/>
      <c r="CM43" s="16"/>
      <c r="CN43" s="211"/>
      <c r="CO43" s="16"/>
      <c r="CP43" s="212"/>
      <c r="CQ43" s="16"/>
      <c r="CR43" s="268"/>
    </row>
    <row r="44" spans="1:96" x14ac:dyDescent="0.25">
      <c r="A44" s="258" t="s">
        <v>4</v>
      </c>
      <c r="B44" s="259"/>
      <c r="C44" s="184"/>
      <c r="D44" s="238"/>
      <c r="E44" s="16"/>
      <c r="F44" s="16"/>
      <c r="G44" s="16"/>
      <c r="H44" s="16"/>
      <c r="I44" s="16"/>
      <c r="J44" s="16"/>
      <c r="K44" s="16"/>
      <c r="L44" s="16"/>
      <c r="M44" s="16"/>
      <c r="N44" s="16"/>
      <c r="O44" s="16"/>
      <c r="P44" s="16"/>
      <c r="Q44" s="16"/>
      <c r="R44" s="16"/>
      <c r="S44" s="43"/>
      <c r="T44" s="16"/>
      <c r="U44" s="16"/>
      <c r="V44" s="16"/>
      <c r="W44" s="16"/>
      <c r="X44" s="16"/>
      <c r="Y44" s="16"/>
      <c r="Z44" s="16"/>
      <c r="AA44" s="16"/>
      <c r="AB44" s="16"/>
      <c r="AC44" s="16"/>
      <c r="AD44" s="16"/>
      <c r="AE44" s="16"/>
      <c r="AF44" s="16"/>
      <c r="AG44" s="16">
        <f t="shared" si="29"/>
        <v>0</v>
      </c>
      <c r="AH44" s="16"/>
      <c r="AI44" s="16"/>
      <c r="AJ44" s="16"/>
      <c r="AK44" s="16"/>
      <c r="AL44" s="16"/>
      <c r="AM44" s="16"/>
      <c r="AN44" s="16"/>
      <c r="AO44" s="237"/>
      <c r="AP44" s="6"/>
      <c r="AQ44" s="6"/>
      <c r="AR44" s="6"/>
      <c r="AS44" s="6"/>
      <c r="AT44" s="5"/>
      <c r="AU44" s="5"/>
      <c r="AV44" s="6"/>
      <c r="AW44" s="6"/>
      <c r="AX44" s="6"/>
      <c r="AY44" s="6"/>
      <c r="AZ44" s="6"/>
      <c r="BA44" s="2"/>
      <c r="BB44" s="2"/>
      <c r="BC44" s="2"/>
      <c r="BD44" s="2"/>
      <c r="BE44" s="2"/>
      <c r="BF44" s="5"/>
      <c r="BG44" s="155"/>
      <c r="BH44" s="2"/>
      <c r="BI44" s="2"/>
      <c r="BJ44" s="5"/>
      <c r="BK44" s="2"/>
      <c r="BL44" s="2"/>
      <c r="BM44" s="55"/>
      <c r="BN44" s="23"/>
      <c r="BO44" s="23"/>
      <c r="BP44" s="23"/>
      <c r="BQ44" s="23"/>
      <c r="BR44" s="23"/>
      <c r="BS44" s="23"/>
      <c r="BT44" s="23"/>
      <c r="BU44" s="23"/>
      <c r="BV44" s="23"/>
      <c r="BW44" s="23"/>
      <c r="BX44" s="23"/>
      <c r="BY44" s="23"/>
      <c r="BZ44" s="23"/>
      <c r="CA44" s="55"/>
      <c r="CB44" s="55"/>
      <c r="CC44" s="60"/>
      <c r="CD44" s="3"/>
      <c r="CE44" s="24"/>
      <c r="CF44" s="25"/>
      <c r="CG44" s="75"/>
      <c r="CH44" s="75"/>
      <c r="CI44" s="16"/>
      <c r="CJ44" s="75"/>
      <c r="CK44" s="43"/>
      <c r="CL44" s="140"/>
      <c r="CM44" s="16"/>
      <c r="CN44" s="167"/>
      <c r="CO44" s="16"/>
      <c r="CP44" s="140"/>
      <c r="CQ44" s="16"/>
      <c r="CR44" s="254"/>
    </row>
    <row r="45" spans="1:96" x14ac:dyDescent="0.25">
      <c r="A45" s="262" t="s">
        <v>21</v>
      </c>
      <c r="B45" s="44"/>
      <c r="C45" s="182">
        <v>0</v>
      </c>
      <c r="D45" s="238" t="e">
        <f>SUM(#REF!)</f>
        <v>#REF!</v>
      </c>
      <c r="E45" s="96">
        <f>SUM(F45:H45)</f>
        <v>860685</v>
      </c>
      <c r="F45" s="108"/>
      <c r="G45" s="96">
        <v>860685</v>
      </c>
      <c r="H45" s="96"/>
      <c r="I45" s="130"/>
      <c r="J45" s="96">
        <v>860685</v>
      </c>
      <c r="K45" s="108"/>
      <c r="L45" s="96">
        <v>860685</v>
      </c>
      <c r="M45" s="96"/>
      <c r="N45" s="130"/>
      <c r="O45" s="96">
        <f>SUM(P45:R45)</f>
        <v>860685</v>
      </c>
      <c r="P45" s="108"/>
      <c r="Q45" s="96">
        <v>860685</v>
      </c>
      <c r="R45" s="96"/>
      <c r="S45" s="132"/>
      <c r="T45" s="96">
        <f>SUM(U45:W45)</f>
        <v>860685</v>
      </c>
      <c r="U45" s="108"/>
      <c r="V45" s="96">
        <v>860685</v>
      </c>
      <c r="W45" s="96"/>
      <c r="X45" s="96">
        <f>SUM(Y45:AA45)</f>
        <v>860685</v>
      </c>
      <c r="Y45" s="108"/>
      <c r="Z45" s="96">
        <v>860685</v>
      </c>
      <c r="AA45" s="96"/>
      <c r="AB45" s="130"/>
      <c r="AC45" s="96">
        <v>860685.00000000012</v>
      </c>
      <c r="AD45" s="108">
        <f>SUM(AO45:AZ45)</f>
        <v>0</v>
      </c>
      <c r="AE45" s="96">
        <f>SUM(BA45:BL45)</f>
        <v>562854.46</v>
      </c>
      <c r="AF45" s="96">
        <f>SUM(BM45:CC45)</f>
        <v>100000</v>
      </c>
      <c r="AG45" s="96">
        <f t="shared" si="29"/>
        <v>197830.54000000015</v>
      </c>
      <c r="AH45" s="130"/>
      <c r="AI45" s="96">
        <v>0</v>
      </c>
      <c r="AJ45" s="97">
        <f t="shared" ref="AJ45" si="31">SUM(AO45:AZ45)</f>
        <v>0</v>
      </c>
      <c r="AK45" s="97">
        <v>0</v>
      </c>
      <c r="AL45" s="97">
        <v>0</v>
      </c>
      <c r="AM45" s="96">
        <f t="shared" ref="AM45:AM60" si="32">AI45-SUM(AJ45:AL45)</f>
        <v>0</v>
      </c>
      <c r="AN45" s="130"/>
      <c r="AO45" s="213"/>
      <c r="AP45" s="213"/>
      <c r="AQ45" s="213"/>
      <c r="AR45" s="213"/>
      <c r="AS45" s="213"/>
      <c r="AT45" s="214"/>
      <c r="AU45" s="214"/>
      <c r="AV45" s="213"/>
      <c r="AW45" s="213"/>
      <c r="AX45" s="213"/>
      <c r="AY45" s="213"/>
      <c r="AZ45" s="119"/>
      <c r="BA45" s="215"/>
      <c r="BB45" s="216"/>
      <c r="BC45" s="216"/>
      <c r="BD45" s="216"/>
      <c r="BE45" s="214"/>
      <c r="BF45" s="214">
        <v>15126</v>
      </c>
      <c r="BG45" s="214">
        <v>33313</v>
      </c>
      <c r="BH45" s="214">
        <v>35338</v>
      </c>
      <c r="BI45" s="214">
        <f>62132+162+17986+89446+13+2856</f>
        <v>172595</v>
      </c>
      <c r="BJ45" s="214">
        <f>12+2733+2340+8323+1828+540+667+2124+72704+4375</f>
        <v>95646</v>
      </c>
      <c r="BK45" s="214">
        <f>1-2568+45020+59946</f>
        <v>102399</v>
      </c>
      <c r="BL45" s="217">
        <v>108437.46</v>
      </c>
      <c r="BM45" s="164">
        <v>100000</v>
      </c>
      <c r="BN45" s="19"/>
      <c r="BO45" s="19"/>
      <c r="BP45" s="19"/>
      <c r="BQ45" s="19"/>
      <c r="BR45" s="19"/>
      <c r="BS45" s="19"/>
      <c r="BT45" s="19"/>
      <c r="BU45" s="19"/>
      <c r="BV45" s="19"/>
      <c r="BW45" s="19"/>
      <c r="BX45" s="19"/>
      <c r="BY45" s="19"/>
      <c r="BZ45" s="19"/>
      <c r="CA45" s="58"/>
      <c r="CB45" s="58"/>
      <c r="CC45" s="59"/>
      <c r="CD45" s="3"/>
      <c r="CE45" s="69">
        <f>SUM(AO45:AZ45)</f>
        <v>0</v>
      </c>
      <c r="CF45" s="76">
        <f>SUM(BA45:BL45)</f>
        <v>562854.46</v>
      </c>
      <c r="CG45" s="77">
        <f>SUM(BM45:CC45)</f>
        <v>100000</v>
      </c>
      <c r="CH45" s="77">
        <f>SUM(CE45:CG45)</f>
        <v>662854.46</v>
      </c>
      <c r="CI45" s="16"/>
      <c r="CJ45" s="77">
        <f>CH45-AC45</f>
        <v>-197830.54000000015</v>
      </c>
      <c r="CK45" s="43"/>
      <c r="CL45" s="138">
        <f>CH45-C45</f>
        <v>662854.46</v>
      </c>
      <c r="CM45" s="16"/>
      <c r="CN45" s="165">
        <v>860685</v>
      </c>
      <c r="CO45" s="16"/>
      <c r="CP45" s="138">
        <f>CH45-CN45</f>
        <v>-197830.54000000004</v>
      </c>
      <c r="CQ45" s="16"/>
      <c r="CR45" s="254"/>
    </row>
    <row r="46" spans="1:96" x14ac:dyDescent="0.25">
      <c r="A46" s="261" t="s">
        <v>137</v>
      </c>
      <c r="B46" s="44"/>
      <c r="C46" s="183">
        <f>SUM(C45)</f>
        <v>0</v>
      </c>
      <c r="D46" s="238" t="e">
        <f>SUM(#REF!)</f>
        <v>#REF!</v>
      </c>
      <c r="E46" s="94">
        <f>SUM(E45)</f>
        <v>860685</v>
      </c>
      <c r="F46" s="94">
        <f>SUM(F45)</f>
        <v>0</v>
      </c>
      <c r="G46" s="94">
        <f>SUM(G45)</f>
        <v>860685</v>
      </c>
      <c r="H46" s="94">
        <f>SUM(H45)</f>
        <v>0</v>
      </c>
      <c r="I46" s="131"/>
      <c r="J46" s="94">
        <f>SUM(J45)</f>
        <v>860685</v>
      </c>
      <c r="K46" s="94">
        <f>SUM(K45)</f>
        <v>0</v>
      </c>
      <c r="L46" s="94">
        <f>SUM(L45)</f>
        <v>860685</v>
      </c>
      <c r="M46" s="94">
        <f>SUM(M45)</f>
        <v>0</v>
      </c>
      <c r="N46" s="131"/>
      <c r="O46" s="94">
        <f>SUM(O45)</f>
        <v>860685</v>
      </c>
      <c r="P46" s="94">
        <f>SUM(P45)</f>
        <v>0</v>
      </c>
      <c r="Q46" s="94">
        <f>SUM(Q45)</f>
        <v>860685</v>
      </c>
      <c r="R46" s="94">
        <f>SUM(R45)</f>
        <v>0</v>
      </c>
      <c r="S46" s="151"/>
      <c r="T46" s="94">
        <f t="shared" ref="T46:AA46" si="33">SUM(T45)</f>
        <v>860685</v>
      </c>
      <c r="U46" s="94">
        <f t="shared" si="33"/>
        <v>0</v>
      </c>
      <c r="V46" s="94">
        <f t="shared" si="33"/>
        <v>860685</v>
      </c>
      <c r="W46" s="94">
        <f t="shared" si="33"/>
        <v>0</v>
      </c>
      <c r="X46" s="94">
        <f t="shared" si="33"/>
        <v>860685</v>
      </c>
      <c r="Y46" s="94">
        <f t="shared" si="33"/>
        <v>0</v>
      </c>
      <c r="Z46" s="94">
        <f t="shared" si="33"/>
        <v>860685</v>
      </c>
      <c r="AA46" s="94">
        <f t="shared" si="33"/>
        <v>0</v>
      </c>
      <c r="AB46" s="131"/>
      <c r="AC46" s="94">
        <f t="shared" ref="AC46:AF46" si="34">SUM(AC45)</f>
        <v>860685.00000000012</v>
      </c>
      <c r="AD46" s="94">
        <f t="shared" si="34"/>
        <v>0</v>
      </c>
      <c r="AE46" s="94">
        <f t="shared" si="34"/>
        <v>562854.46</v>
      </c>
      <c r="AF46" s="94">
        <f t="shared" si="34"/>
        <v>100000</v>
      </c>
      <c r="AG46" s="94">
        <f t="shared" si="29"/>
        <v>197830.54000000015</v>
      </c>
      <c r="AH46" s="131"/>
      <c r="AI46" s="94">
        <f t="shared" ref="AI46:AL46" si="35">SUM(AI45)</f>
        <v>0</v>
      </c>
      <c r="AJ46" s="94">
        <f t="shared" si="35"/>
        <v>0</v>
      </c>
      <c r="AK46" s="94">
        <f t="shared" si="35"/>
        <v>0</v>
      </c>
      <c r="AL46" s="94">
        <f t="shared" si="35"/>
        <v>0</v>
      </c>
      <c r="AM46" s="94">
        <f t="shared" si="32"/>
        <v>0</v>
      </c>
      <c r="AN46" s="131"/>
      <c r="AO46" s="46">
        <f t="shared" ref="AO46:CC46" si="36">SUM(AO45)</f>
        <v>0</v>
      </c>
      <c r="AP46" s="46">
        <f t="shared" si="36"/>
        <v>0</v>
      </c>
      <c r="AQ46" s="46">
        <f t="shared" si="36"/>
        <v>0</v>
      </c>
      <c r="AR46" s="46">
        <f t="shared" si="36"/>
        <v>0</v>
      </c>
      <c r="AS46" s="46">
        <f t="shared" si="36"/>
        <v>0</v>
      </c>
      <c r="AT46" s="47">
        <f t="shared" si="36"/>
        <v>0</v>
      </c>
      <c r="AU46" s="47">
        <f t="shared" si="36"/>
        <v>0</v>
      </c>
      <c r="AV46" s="46">
        <f t="shared" si="36"/>
        <v>0</v>
      </c>
      <c r="AW46" s="46">
        <f t="shared" si="36"/>
        <v>0</v>
      </c>
      <c r="AX46" s="46">
        <f t="shared" si="36"/>
        <v>0</v>
      </c>
      <c r="AY46" s="46">
        <f t="shared" si="36"/>
        <v>0</v>
      </c>
      <c r="AZ46" s="48">
        <f t="shared" si="36"/>
        <v>0</v>
      </c>
      <c r="BA46" s="65">
        <f t="shared" si="36"/>
        <v>0</v>
      </c>
      <c r="BB46" s="47">
        <f t="shared" si="36"/>
        <v>0</v>
      </c>
      <c r="BC46" s="47">
        <f t="shared" si="36"/>
        <v>0</v>
      </c>
      <c r="BD46" s="47">
        <f t="shared" si="36"/>
        <v>0</v>
      </c>
      <c r="BE46" s="47">
        <f t="shared" si="36"/>
        <v>0</v>
      </c>
      <c r="BF46" s="47">
        <f t="shared" si="36"/>
        <v>15126</v>
      </c>
      <c r="BG46" s="47">
        <f t="shared" si="36"/>
        <v>33313</v>
      </c>
      <c r="BH46" s="47">
        <f t="shared" si="36"/>
        <v>35338</v>
      </c>
      <c r="BI46" s="47">
        <f t="shared" si="36"/>
        <v>172595</v>
      </c>
      <c r="BJ46" s="47">
        <f t="shared" si="36"/>
        <v>95646</v>
      </c>
      <c r="BK46" s="47">
        <f t="shared" si="36"/>
        <v>102399</v>
      </c>
      <c r="BL46" s="173">
        <f t="shared" si="36"/>
        <v>108437.46</v>
      </c>
      <c r="BM46" s="144">
        <f t="shared" si="36"/>
        <v>100000</v>
      </c>
      <c r="BN46" s="66">
        <f t="shared" si="36"/>
        <v>0</v>
      </c>
      <c r="BO46" s="66">
        <f t="shared" si="36"/>
        <v>0</v>
      </c>
      <c r="BP46" s="66">
        <f t="shared" si="36"/>
        <v>0</v>
      </c>
      <c r="BQ46" s="66">
        <f t="shared" si="36"/>
        <v>0</v>
      </c>
      <c r="BR46" s="66">
        <f t="shared" si="36"/>
        <v>0</v>
      </c>
      <c r="BS46" s="66">
        <f t="shared" si="36"/>
        <v>0</v>
      </c>
      <c r="BT46" s="66"/>
      <c r="BU46" s="66"/>
      <c r="BV46" s="66"/>
      <c r="BW46" s="66"/>
      <c r="BX46" s="66"/>
      <c r="BY46" s="66">
        <f t="shared" si="36"/>
        <v>0</v>
      </c>
      <c r="BZ46" s="66">
        <f t="shared" si="36"/>
        <v>0</v>
      </c>
      <c r="CA46" s="67">
        <f t="shared" si="36"/>
        <v>0</v>
      </c>
      <c r="CB46" s="67">
        <f t="shared" si="36"/>
        <v>0</v>
      </c>
      <c r="CC46" s="68">
        <f t="shared" si="36"/>
        <v>0</v>
      </c>
      <c r="CD46" s="3"/>
      <c r="CE46" s="50">
        <f>SUM(CE45)</f>
        <v>0</v>
      </c>
      <c r="CF46" s="121">
        <f>SUM(CF45)</f>
        <v>562854.46</v>
      </c>
      <c r="CG46" s="74">
        <f>SUM(CG45)</f>
        <v>100000</v>
      </c>
      <c r="CH46" s="74">
        <f>SUM(CH45)</f>
        <v>662854.46</v>
      </c>
      <c r="CI46" s="16"/>
      <c r="CJ46" s="74">
        <f>SUM(CJ45)</f>
        <v>-197830.54000000015</v>
      </c>
      <c r="CK46" s="43"/>
      <c r="CL46" s="139">
        <f>SUM(CL45)</f>
        <v>662854.46</v>
      </c>
      <c r="CM46" s="16"/>
      <c r="CN46" s="166">
        <f>SUM(CN45)</f>
        <v>860685</v>
      </c>
      <c r="CO46" s="16"/>
      <c r="CP46" s="139">
        <f>SUM(CP45)</f>
        <v>-197830.54000000004</v>
      </c>
      <c r="CQ46" s="16"/>
      <c r="CR46" s="254"/>
    </row>
    <row r="47" spans="1:96" x14ac:dyDescent="0.25">
      <c r="A47" s="264"/>
      <c r="B47" s="255"/>
      <c r="C47" s="184"/>
      <c r="D47" s="238"/>
      <c r="E47" s="98"/>
      <c r="F47" s="105"/>
      <c r="G47" s="105"/>
      <c r="H47" s="106"/>
      <c r="I47" s="130"/>
      <c r="J47" s="98"/>
      <c r="K47" s="105"/>
      <c r="L47" s="105"/>
      <c r="M47" s="106"/>
      <c r="N47" s="130"/>
      <c r="O47" s="98"/>
      <c r="P47" s="105"/>
      <c r="Q47" s="105"/>
      <c r="R47" s="106"/>
      <c r="S47" s="132"/>
      <c r="T47" s="98"/>
      <c r="U47" s="105"/>
      <c r="V47" s="105"/>
      <c r="W47" s="106"/>
      <c r="X47" s="98"/>
      <c r="Y47" s="105"/>
      <c r="Z47" s="105"/>
      <c r="AA47" s="106"/>
      <c r="AB47" s="130"/>
      <c r="AC47" s="98"/>
      <c r="AD47" s="105"/>
      <c r="AE47" s="105"/>
      <c r="AF47" s="106"/>
      <c r="AG47" s="106">
        <f t="shared" si="29"/>
        <v>0</v>
      </c>
      <c r="AH47" s="130"/>
      <c r="AI47" s="234"/>
      <c r="AJ47" s="29"/>
      <c r="AK47" s="29"/>
      <c r="AL47" s="29"/>
      <c r="AM47" s="29"/>
      <c r="AN47" s="130"/>
      <c r="AO47" s="40"/>
      <c r="AP47" s="45"/>
      <c r="AQ47" s="45"/>
      <c r="AR47" s="45"/>
      <c r="AS47" s="45"/>
      <c r="AT47" s="148"/>
      <c r="AU47" s="148"/>
      <c r="AV47" s="45"/>
      <c r="AW47" s="45"/>
      <c r="AX47" s="45"/>
      <c r="AY47" s="45"/>
      <c r="AZ47" s="45"/>
      <c r="BA47" s="54"/>
      <c r="BB47" s="3"/>
      <c r="BC47" s="3"/>
      <c r="BD47" s="3"/>
      <c r="BE47" s="148"/>
      <c r="BF47" s="148"/>
      <c r="BG47" s="154"/>
      <c r="BH47" s="3"/>
      <c r="BI47" s="3"/>
      <c r="BJ47" s="3"/>
      <c r="BK47" s="3"/>
      <c r="BL47" s="172"/>
      <c r="BM47" s="55"/>
      <c r="BN47" s="23"/>
      <c r="BO47" s="23"/>
      <c r="BP47" s="23"/>
      <c r="BQ47" s="23"/>
      <c r="BR47" s="23"/>
      <c r="BS47" s="23"/>
      <c r="BT47" s="23"/>
      <c r="BU47" s="23"/>
      <c r="BV47" s="23"/>
      <c r="BW47" s="23"/>
      <c r="BX47" s="23"/>
      <c r="BY47" s="23"/>
      <c r="BZ47" s="23"/>
      <c r="CA47" s="55"/>
      <c r="CB47" s="55"/>
      <c r="CC47" s="60"/>
      <c r="CD47" s="3"/>
      <c r="CE47" s="24"/>
      <c r="CF47" s="25"/>
      <c r="CG47" s="75"/>
      <c r="CH47" s="75"/>
      <c r="CI47" s="16"/>
      <c r="CJ47" s="75"/>
      <c r="CK47" s="43"/>
      <c r="CL47" s="140"/>
      <c r="CM47" s="16"/>
      <c r="CN47" s="167"/>
      <c r="CO47" s="16"/>
      <c r="CP47" s="140"/>
      <c r="CQ47" s="16"/>
      <c r="CR47" s="254"/>
    </row>
    <row r="48" spans="1:96" x14ac:dyDescent="0.25">
      <c r="A48" s="269" t="s">
        <v>182</v>
      </c>
      <c r="B48" s="259"/>
      <c r="C48" s="184"/>
      <c r="D48" s="238"/>
      <c r="E48" s="95"/>
      <c r="F48" s="107"/>
      <c r="G48" s="107"/>
      <c r="H48" s="108"/>
      <c r="I48" s="130"/>
      <c r="J48" s="95"/>
      <c r="K48" s="107"/>
      <c r="L48" s="107"/>
      <c r="M48" s="108"/>
      <c r="N48" s="130"/>
      <c r="O48" s="95"/>
      <c r="P48" s="107"/>
      <c r="Q48" s="107"/>
      <c r="R48" s="108"/>
      <c r="S48" s="132"/>
      <c r="T48" s="95"/>
      <c r="U48" s="107"/>
      <c r="V48" s="107"/>
      <c r="W48" s="108"/>
      <c r="X48" s="95"/>
      <c r="Y48" s="107"/>
      <c r="Z48" s="107"/>
      <c r="AA48" s="108">
        <f>Z49-AC49</f>
        <v>355467</v>
      </c>
      <c r="AB48" s="130"/>
      <c r="AC48" s="95"/>
      <c r="AD48" s="107"/>
      <c r="AE48" s="107"/>
      <c r="AF48" s="108"/>
      <c r="AG48" s="108">
        <f t="shared" si="29"/>
        <v>0</v>
      </c>
      <c r="AH48" s="130"/>
      <c r="AI48" s="234"/>
      <c r="AJ48" s="29"/>
      <c r="AK48" s="29"/>
      <c r="AL48" s="29"/>
      <c r="AM48" s="29"/>
      <c r="AN48" s="130"/>
      <c r="AO48" s="40"/>
      <c r="AP48" s="45"/>
      <c r="AQ48" s="45"/>
      <c r="AR48" s="45"/>
      <c r="AS48" s="45"/>
      <c r="AT48" s="148"/>
      <c r="AU48" s="148"/>
      <c r="AV48" s="45"/>
      <c r="AW48" s="45"/>
      <c r="AX48" s="45"/>
      <c r="AY48" s="45"/>
      <c r="AZ48" s="45"/>
      <c r="BA48" s="54"/>
      <c r="BB48" s="3"/>
      <c r="BC48" s="3"/>
      <c r="BD48" s="3"/>
      <c r="BE48" s="148"/>
      <c r="BF48" s="148"/>
      <c r="BG48" s="154"/>
      <c r="BH48" s="3"/>
      <c r="BI48" s="3"/>
      <c r="BJ48" s="3"/>
      <c r="BK48" s="3"/>
      <c r="BL48" s="172"/>
      <c r="BM48" s="55"/>
      <c r="BN48" s="23"/>
      <c r="BO48" s="23"/>
      <c r="BP48" s="23"/>
      <c r="BQ48" s="23"/>
      <c r="BR48" s="23"/>
      <c r="BS48" s="23"/>
      <c r="BT48" s="23"/>
      <c r="BU48" s="23"/>
      <c r="BV48" s="23"/>
      <c r="BW48" s="23"/>
      <c r="BX48" s="23"/>
      <c r="BY48" s="23"/>
      <c r="BZ48" s="23"/>
      <c r="CA48" s="55"/>
      <c r="CB48" s="55"/>
      <c r="CC48" s="60"/>
      <c r="CD48" s="3"/>
      <c r="CE48" s="24"/>
      <c r="CF48" s="25"/>
      <c r="CG48" s="75"/>
      <c r="CH48" s="75"/>
      <c r="CI48" s="16"/>
      <c r="CJ48" s="75"/>
      <c r="CK48" s="43"/>
      <c r="CL48" s="140"/>
      <c r="CM48" s="16"/>
      <c r="CN48" s="167"/>
      <c r="CO48" s="16"/>
      <c r="CP48" s="140"/>
      <c r="CQ48" s="16"/>
      <c r="CR48" s="254"/>
    </row>
    <row r="49" spans="1:96" x14ac:dyDescent="0.25">
      <c r="A49" s="267" t="s">
        <v>139</v>
      </c>
      <c r="B49" s="44"/>
      <c r="C49" s="182">
        <f>C60</f>
        <v>203440.60199999809</v>
      </c>
      <c r="D49" s="238" t="e">
        <f>SUM(#REF!)</f>
        <v>#REF!</v>
      </c>
      <c r="E49" s="96">
        <f>SUM(F49:H49)</f>
        <v>1141941</v>
      </c>
      <c r="F49" s="99"/>
      <c r="G49" s="97">
        <f>1351906-209965</f>
        <v>1141941</v>
      </c>
      <c r="H49" s="97"/>
      <c r="I49" s="132"/>
      <c r="J49" s="96">
        <v>963685</v>
      </c>
      <c r="K49" s="99"/>
      <c r="L49" s="97">
        <v>963685</v>
      </c>
      <c r="M49" s="97"/>
      <c r="N49" s="132"/>
      <c r="O49" s="96">
        <f>SUM(P49:R49)</f>
        <v>967164</v>
      </c>
      <c r="P49" s="99"/>
      <c r="Q49" s="97">
        <f>1351906-342242-42500</f>
        <v>967164</v>
      </c>
      <c r="R49" s="97"/>
      <c r="S49" s="132"/>
      <c r="T49" s="96">
        <f>SUM(U49:W49)</f>
        <v>967164</v>
      </c>
      <c r="U49" s="99"/>
      <c r="V49" s="97">
        <f>1351906-342242-42500</f>
        <v>967164</v>
      </c>
      <c r="W49" s="97"/>
      <c r="X49" s="96">
        <f>SUM(Y49:AA49)</f>
        <v>407164</v>
      </c>
      <c r="Y49" s="99"/>
      <c r="Z49" s="97">
        <f>1351906-342242-42500-560000</f>
        <v>407164</v>
      </c>
      <c r="AA49" s="97"/>
      <c r="AB49" s="132"/>
      <c r="AC49" s="96">
        <f>51697</f>
        <v>51697</v>
      </c>
      <c r="AD49" s="99">
        <f t="shared" ref="AD49" si="37">SUM(AO49:AZ49)</f>
        <v>0</v>
      </c>
      <c r="AE49" s="97">
        <f>SUM(BA49:BL49)</f>
        <v>0</v>
      </c>
      <c r="AF49" s="97">
        <f t="shared" ref="AF49" si="38">SUM(BM49:CC49)</f>
        <v>0</v>
      </c>
      <c r="AG49" s="97">
        <f t="shared" si="29"/>
        <v>51697</v>
      </c>
      <c r="AH49" s="132"/>
      <c r="AI49" s="29">
        <v>0</v>
      </c>
      <c r="AJ49" s="31">
        <f t="shared" ref="AJ49" si="39">SUM(AO49:AZ49)</f>
        <v>0</v>
      </c>
      <c r="AK49" s="31">
        <f t="shared" ref="AK49" si="40">SUM(BA49:BL49)</f>
        <v>0</v>
      </c>
      <c r="AL49" s="31">
        <f t="shared" ref="AL49" si="41">SUM(BM49:CC49)</f>
        <v>0</v>
      </c>
      <c r="AM49" s="31">
        <f t="shared" si="32"/>
        <v>0</v>
      </c>
      <c r="AN49" s="132"/>
      <c r="AO49" s="6"/>
      <c r="AP49" s="6"/>
      <c r="AQ49" s="6"/>
      <c r="AR49" s="6"/>
      <c r="AS49" s="6"/>
      <c r="AT49" s="5"/>
      <c r="AU49" s="5"/>
      <c r="AV49" s="6"/>
      <c r="AW49" s="6"/>
      <c r="AX49" s="6"/>
      <c r="AY49" s="6"/>
      <c r="AZ49" s="39"/>
      <c r="BA49" s="53"/>
      <c r="BB49" s="2"/>
      <c r="BC49" s="2"/>
      <c r="BD49" s="2"/>
      <c r="BE49" s="5"/>
      <c r="BF49" s="5"/>
      <c r="BG49" s="155"/>
      <c r="BH49" s="5"/>
      <c r="BI49" s="5"/>
      <c r="BJ49" s="5"/>
      <c r="BK49" s="5"/>
      <c r="BL49" s="171"/>
      <c r="BM49" s="146">
        <v>0</v>
      </c>
      <c r="BN49" s="19"/>
      <c r="BO49" s="19"/>
      <c r="BP49" s="19"/>
      <c r="BQ49" s="19"/>
      <c r="BR49" s="19"/>
      <c r="BS49" s="19"/>
      <c r="BT49" s="19"/>
      <c r="BU49" s="19"/>
      <c r="BV49" s="19"/>
      <c r="BW49" s="19"/>
      <c r="BX49" s="19"/>
      <c r="BY49" s="19"/>
      <c r="BZ49" s="19"/>
      <c r="CA49" s="19"/>
      <c r="CB49" s="19"/>
      <c r="CC49" s="59"/>
      <c r="CD49" s="3"/>
      <c r="CE49" s="69">
        <f>SUM(AO49:AZ49)</f>
        <v>0</v>
      </c>
      <c r="CF49" s="76">
        <f>SUM(BA49:BL49)</f>
        <v>0</v>
      </c>
      <c r="CG49" s="77">
        <f>SUM(BM49:CC49)</f>
        <v>0</v>
      </c>
      <c r="CH49" s="77">
        <f>SUM(CE49:CG49)</f>
        <v>0</v>
      </c>
      <c r="CI49" s="16"/>
      <c r="CJ49" s="77">
        <f t="shared" ref="CJ49" si="42">CH49-AC49</f>
        <v>-51697</v>
      </c>
      <c r="CK49" s="43"/>
      <c r="CL49" s="138">
        <f>CH49-C49</f>
        <v>-203440.60199999809</v>
      </c>
      <c r="CM49" s="16"/>
      <c r="CN49" s="165">
        <v>879500</v>
      </c>
      <c r="CO49" s="16"/>
      <c r="CP49" s="138">
        <f t="shared" ref="CP49" si="43">CH49-CN49</f>
        <v>-879500</v>
      </c>
      <c r="CQ49" s="16"/>
      <c r="CR49" s="254"/>
    </row>
    <row r="50" spans="1:96" x14ac:dyDescent="0.25">
      <c r="A50" s="269" t="s">
        <v>35</v>
      </c>
      <c r="B50" s="259"/>
      <c r="C50" s="183">
        <f>SUM(C49:C49)</f>
        <v>203440.60199999809</v>
      </c>
      <c r="D50" s="238" t="e">
        <f>SUM(#REF!)</f>
        <v>#REF!</v>
      </c>
      <c r="E50" s="94">
        <f>SUM(E49:E49)</f>
        <v>1141941</v>
      </c>
      <c r="F50" s="94">
        <f>SUM(F49:F49)</f>
        <v>0</v>
      </c>
      <c r="G50" s="94">
        <f>SUM(G49:G49)</f>
        <v>1141941</v>
      </c>
      <c r="H50" s="94">
        <f>SUM(H49:H49)</f>
        <v>0</v>
      </c>
      <c r="I50" s="131"/>
      <c r="J50" s="94">
        <f>SUM(J49:J49)</f>
        <v>963685</v>
      </c>
      <c r="K50" s="94">
        <f>SUM(K49:K49)</f>
        <v>0</v>
      </c>
      <c r="L50" s="94">
        <f>SUM(L49:L49)</f>
        <v>963685</v>
      </c>
      <c r="M50" s="94">
        <f>SUM(M49:M49)</f>
        <v>0</v>
      </c>
      <c r="N50" s="131"/>
      <c r="O50" s="94">
        <f>SUM(O49:O49)</f>
        <v>967164</v>
      </c>
      <c r="P50" s="94">
        <f>SUM(P49:P49)</f>
        <v>0</v>
      </c>
      <c r="Q50" s="94">
        <f>SUM(Q49:Q49)</f>
        <v>967164</v>
      </c>
      <c r="R50" s="94">
        <f>SUM(R49:R49)</f>
        <v>0</v>
      </c>
      <c r="S50" s="151"/>
      <c r="T50" s="94">
        <f t="shared" ref="T50:AA50" si="44">SUM(T49:T49)</f>
        <v>967164</v>
      </c>
      <c r="U50" s="94">
        <f t="shared" si="44"/>
        <v>0</v>
      </c>
      <c r="V50" s="94">
        <f t="shared" si="44"/>
        <v>967164</v>
      </c>
      <c r="W50" s="94">
        <f t="shared" si="44"/>
        <v>0</v>
      </c>
      <c r="X50" s="94">
        <f t="shared" si="44"/>
        <v>407164</v>
      </c>
      <c r="Y50" s="94">
        <f t="shared" si="44"/>
        <v>0</v>
      </c>
      <c r="Z50" s="94">
        <f t="shared" si="44"/>
        <v>407164</v>
      </c>
      <c r="AA50" s="94">
        <f t="shared" si="44"/>
        <v>0</v>
      </c>
      <c r="AB50" s="131"/>
      <c r="AC50" s="94">
        <f>SUM(AC49:AC49)</f>
        <v>51697</v>
      </c>
      <c r="AD50" s="94">
        <f>SUM(AD49:AD49)</f>
        <v>0</v>
      </c>
      <c r="AE50" s="94">
        <f>SUM(AE49:AE49)</f>
        <v>0</v>
      </c>
      <c r="AF50" s="94">
        <f>SUM(AF49:AF49)</f>
        <v>0</v>
      </c>
      <c r="AG50" s="94">
        <f t="shared" si="29"/>
        <v>51697</v>
      </c>
      <c r="AH50" s="131"/>
      <c r="AI50" s="28">
        <f>SUM(AI49:AI49)</f>
        <v>0</v>
      </c>
      <c r="AJ50" s="28">
        <f>SUM(AJ49:AJ49)</f>
        <v>0</v>
      </c>
      <c r="AK50" s="28">
        <f>SUM(AK49:AK49)</f>
        <v>0</v>
      </c>
      <c r="AL50" s="28">
        <f>SUM(AL49:AL49)</f>
        <v>0</v>
      </c>
      <c r="AM50" s="28">
        <f>AI50-SUM(AJ50:AL50)</f>
        <v>0</v>
      </c>
      <c r="AN50" s="131"/>
      <c r="AO50" s="46">
        <f t="shared" ref="AO50:BS50" si="45">SUM(AO49:AO49)</f>
        <v>0</v>
      </c>
      <c r="AP50" s="46">
        <f t="shared" si="45"/>
        <v>0</v>
      </c>
      <c r="AQ50" s="46">
        <f t="shared" si="45"/>
        <v>0</v>
      </c>
      <c r="AR50" s="46">
        <f t="shared" si="45"/>
        <v>0</v>
      </c>
      <c r="AS50" s="46">
        <f t="shared" si="45"/>
        <v>0</v>
      </c>
      <c r="AT50" s="47">
        <f t="shared" si="45"/>
        <v>0</v>
      </c>
      <c r="AU50" s="47">
        <f t="shared" si="45"/>
        <v>0</v>
      </c>
      <c r="AV50" s="46">
        <f t="shared" si="45"/>
        <v>0</v>
      </c>
      <c r="AW50" s="46">
        <f t="shared" si="45"/>
        <v>0</v>
      </c>
      <c r="AX50" s="46">
        <f t="shared" si="45"/>
        <v>0</v>
      </c>
      <c r="AY50" s="46">
        <f t="shared" si="45"/>
        <v>0</v>
      </c>
      <c r="AZ50" s="48">
        <f t="shared" si="45"/>
        <v>0</v>
      </c>
      <c r="BA50" s="65">
        <f t="shared" si="45"/>
        <v>0</v>
      </c>
      <c r="BB50" s="47">
        <f t="shared" si="45"/>
        <v>0</v>
      </c>
      <c r="BC50" s="47">
        <f t="shared" si="45"/>
        <v>0</v>
      </c>
      <c r="BD50" s="47">
        <f t="shared" si="45"/>
        <v>0</v>
      </c>
      <c r="BE50" s="47">
        <f t="shared" si="45"/>
        <v>0</v>
      </c>
      <c r="BF50" s="47">
        <f t="shared" si="45"/>
        <v>0</v>
      </c>
      <c r="BG50" s="47">
        <f t="shared" si="45"/>
        <v>0</v>
      </c>
      <c r="BH50" s="47">
        <f t="shared" si="45"/>
        <v>0</v>
      </c>
      <c r="BI50" s="47">
        <f t="shared" si="45"/>
        <v>0</v>
      </c>
      <c r="BJ50" s="47">
        <f t="shared" si="45"/>
        <v>0</v>
      </c>
      <c r="BK50" s="47">
        <f t="shared" si="45"/>
        <v>0</v>
      </c>
      <c r="BL50" s="173">
        <f t="shared" si="45"/>
        <v>0</v>
      </c>
      <c r="BM50" s="144">
        <f t="shared" si="45"/>
        <v>0</v>
      </c>
      <c r="BN50" s="66">
        <f t="shared" si="45"/>
        <v>0</v>
      </c>
      <c r="BO50" s="66">
        <f t="shared" si="45"/>
        <v>0</v>
      </c>
      <c r="BP50" s="66">
        <f t="shared" si="45"/>
        <v>0</v>
      </c>
      <c r="BQ50" s="66">
        <f t="shared" si="45"/>
        <v>0</v>
      </c>
      <c r="BR50" s="66">
        <f t="shared" si="45"/>
        <v>0</v>
      </c>
      <c r="BS50" s="66">
        <f t="shared" si="45"/>
        <v>0</v>
      </c>
      <c r="BT50" s="66"/>
      <c r="BU50" s="66"/>
      <c r="BV50" s="66"/>
      <c r="BW50" s="66"/>
      <c r="BX50" s="66"/>
      <c r="BY50" s="66">
        <f>SUM(BY49:BY49)</f>
        <v>0</v>
      </c>
      <c r="BZ50" s="66">
        <f>SUM(BZ49:BZ49)</f>
        <v>0</v>
      </c>
      <c r="CA50" s="67">
        <f>SUM(CA49:CA49)</f>
        <v>0</v>
      </c>
      <c r="CB50" s="67">
        <f>SUM(CB49:CB49)</f>
        <v>0</v>
      </c>
      <c r="CC50" s="68">
        <f>SUM(CC49:CC49)</f>
        <v>0</v>
      </c>
      <c r="CD50" s="3"/>
      <c r="CE50" s="50">
        <f>SUM(CE49:CE49)</f>
        <v>0</v>
      </c>
      <c r="CF50" s="121">
        <f>SUM(CF49:CF49)</f>
        <v>0</v>
      </c>
      <c r="CG50" s="74">
        <f>SUM(CG49:CG49)</f>
        <v>0</v>
      </c>
      <c r="CH50" s="74">
        <f>SUM(CH49:CH49)</f>
        <v>0</v>
      </c>
      <c r="CI50" s="16"/>
      <c r="CJ50" s="74">
        <f>SUM(CJ49:CJ49)</f>
        <v>-51697</v>
      </c>
      <c r="CK50" s="43"/>
      <c r="CL50" s="139">
        <f>SUM(CL49:CL49)</f>
        <v>-203440.60199999809</v>
      </c>
      <c r="CM50" s="16"/>
      <c r="CN50" s="166">
        <f>SUM(CN49:CN49)</f>
        <v>879500</v>
      </c>
      <c r="CO50" s="16"/>
      <c r="CP50" s="139">
        <f>SUM(CP49:CP49)</f>
        <v>-879500</v>
      </c>
      <c r="CQ50" s="16"/>
      <c r="CR50" s="254"/>
    </row>
    <row r="51" spans="1:96" x14ac:dyDescent="0.25">
      <c r="A51" s="264"/>
      <c r="B51" s="255"/>
      <c r="C51" s="184"/>
      <c r="D51" s="238"/>
      <c r="E51" s="98"/>
      <c r="F51" s="100"/>
      <c r="G51" s="100"/>
      <c r="H51" s="101"/>
      <c r="I51" s="133"/>
      <c r="J51" s="98"/>
      <c r="K51" s="100"/>
      <c r="L51" s="100"/>
      <c r="M51" s="101"/>
      <c r="N51" s="133"/>
      <c r="O51" s="98"/>
      <c r="P51" s="100"/>
      <c r="Q51" s="100"/>
      <c r="R51" s="101"/>
      <c r="S51" s="133"/>
      <c r="T51" s="98"/>
      <c r="U51" s="100"/>
      <c r="V51" s="100"/>
      <c r="W51" s="101"/>
      <c r="X51" s="98"/>
      <c r="Y51" s="100"/>
      <c r="Z51" s="100"/>
      <c r="AA51" s="101"/>
      <c r="AB51" s="133"/>
      <c r="AC51" s="98"/>
      <c r="AD51" s="100"/>
      <c r="AE51" s="100"/>
      <c r="AF51" s="101"/>
      <c r="AG51" s="101">
        <f t="shared" si="29"/>
        <v>0</v>
      </c>
      <c r="AH51" s="133"/>
      <c r="AI51" s="234"/>
      <c r="AJ51" s="235"/>
      <c r="AK51" s="235"/>
      <c r="AL51" s="235"/>
      <c r="AM51" s="235">
        <f t="shared" si="32"/>
        <v>0</v>
      </c>
      <c r="AN51" s="133"/>
      <c r="AO51" s="115"/>
      <c r="AP51" s="116"/>
      <c r="AQ51" s="116"/>
      <c r="AR51" s="116"/>
      <c r="AS51" s="116"/>
      <c r="AT51" s="117"/>
      <c r="AU51" s="117"/>
      <c r="AV51" s="116"/>
      <c r="AW51" s="116"/>
      <c r="AX51" s="116"/>
      <c r="AY51" s="116"/>
      <c r="AZ51" s="118"/>
      <c r="BA51" s="54"/>
      <c r="BB51" s="3"/>
      <c r="BC51" s="3"/>
      <c r="BD51" s="3"/>
      <c r="BE51" s="148"/>
      <c r="BF51" s="148"/>
      <c r="BG51" s="154"/>
      <c r="BH51" s="3"/>
      <c r="BI51" s="3"/>
      <c r="BJ51" s="3"/>
      <c r="BK51" s="3"/>
      <c r="BL51" s="172"/>
      <c r="BM51" s="55"/>
      <c r="BN51" s="23"/>
      <c r="BO51" s="23"/>
      <c r="BP51" s="23"/>
      <c r="BQ51" s="23"/>
      <c r="BR51" s="23"/>
      <c r="BS51" s="23"/>
      <c r="BT51" s="23"/>
      <c r="BU51" s="23"/>
      <c r="BV51" s="23"/>
      <c r="BW51" s="23"/>
      <c r="BX51" s="23"/>
      <c r="BY51" s="23"/>
      <c r="BZ51" s="23"/>
      <c r="CA51" s="55"/>
      <c r="CB51" s="55"/>
      <c r="CC51" s="60"/>
      <c r="CD51" s="3"/>
      <c r="CE51" s="24"/>
      <c r="CF51" s="25"/>
      <c r="CG51" s="75"/>
      <c r="CH51" s="75"/>
      <c r="CI51" s="16"/>
      <c r="CJ51" s="75"/>
      <c r="CK51" s="43"/>
      <c r="CL51" s="140"/>
      <c r="CM51" s="16"/>
      <c r="CN51" s="167"/>
      <c r="CO51" s="16"/>
      <c r="CP51" s="140"/>
      <c r="CQ51" s="16"/>
      <c r="CR51" s="254"/>
    </row>
    <row r="52" spans="1:96" x14ac:dyDescent="0.25">
      <c r="A52" s="258" t="s">
        <v>58</v>
      </c>
      <c r="B52" s="259"/>
      <c r="C52" s="183">
        <v>0</v>
      </c>
      <c r="D52" s="238" t="e">
        <f>SUM(#REF!)</f>
        <v>#REF!</v>
      </c>
      <c r="E52" s="28">
        <f>SUM(F52:H52)</f>
        <v>203107</v>
      </c>
      <c r="F52" s="29"/>
      <c r="G52" s="29">
        <v>203107</v>
      </c>
      <c r="H52" s="29"/>
      <c r="I52" s="130"/>
      <c r="J52" s="28">
        <f>SUM(K52:M52)</f>
        <v>203107</v>
      </c>
      <c r="K52" s="29"/>
      <c r="L52" s="29">
        <v>131792</v>
      </c>
      <c r="M52" s="29">
        <v>71315</v>
      </c>
      <c r="N52" s="130"/>
      <c r="O52" s="28">
        <f>SUM(P52:R52)</f>
        <v>203107</v>
      </c>
      <c r="P52" s="29"/>
      <c r="Q52" s="29">
        <v>131792</v>
      </c>
      <c r="R52" s="29">
        <v>71315</v>
      </c>
      <c r="S52" s="132"/>
      <c r="T52" s="28">
        <f>SUM(U52:W52)</f>
        <v>203107</v>
      </c>
      <c r="U52" s="29"/>
      <c r="V52" s="29">
        <v>131792</v>
      </c>
      <c r="W52" s="29">
        <v>71315</v>
      </c>
      <c r="X52" s="28">
        <f>SUM(Y52:AA52)</f>
        <v>203107</v>
      </c>
      <c r="Y52" s="29"/>
      <c r="Z52" s="29">
        <v>131792</v>
      </c>
      <c r="AA52" s="29">
        <v>71315</v>
      </c>
      <c r="AB52" s="130"/>
      <c r="AC52" s="28">
        <v>203107</v>
      </c>
      <c r="AD52" s="34">
        <f>SUM(AO52:AZ52)</f>
        <v>0</v>
      </c>
      <c r="AE52" s="29">
        <f>SUM(BA52:BL52)</f>
        <v>0</v>
      </c>
      <c r="AF52" s="29">
        <f>SUM(BM52:CC52)</f>
        <v>0</v>
      </c>
      <c r="AG52" s="29">
        <f t="shared" si="29"/>
        <v>203107</v>
      </c>
      <c r="AH52" s="130"/>
      <c r="AI52" s="28">
        <v>0</v>
      </c>
      <c r="AJ52" s="31">
        <f t="shared" ref="AJ52" si="46">SUM(AO52:AZ52)</f>
        <v>0</v>
      </c>
      <c r="AK52" s="31">
        <f t="shared" ref="AK52" si="47">SUM(BA52:BL52)</f>
        <v>0</v>
      </c>
      <c r="AL52" s="31">
        <f t="shared" ref="AL52" si="48">SUM(BM52:CC52)</f>
        <v>0</v>
      </c>
      <c r="AM52" s="29">
        <f>AI52-SUM(AJ52:AL52)</f>
        <v>0</v>
      </c>
      <c r="AN52" s="130"/>
      <c r="AO52" s="109"/>
      <c r="AP52" s="109"/>
      <c r="AQ52" s="109"/>
      <c r="AR52" s="109"/>
      <c r="AS52" s="109"/>
      <c r="AT52" s="109"/>
      <c r="AU52" s="109"/>
      <c r="AV52" s="109"/>
      <c r="AW52" s="109"/>
      <c r="AX52" s="109"/>
      <c r="AY52" s="109"/>
      <c r="AZ52" s="109"/>
      <c r="BA52" s="53"/>
      <c r="BB52" s="2"/>
      <c r="BC52" s="2"/>
      <c r="BD52" s="2"/>
      <c r="BE52" s="5"/>
      <c r="BF52" s="5"/>
      <c r="BG52" s="155"/>
      <c r="BH52" s="2"/>
      <c r="BI52" s="5"/>
      <c r="BJ52" s="2"/>
      <c r="BK52" s="2"/>
      <c r="BL52" s="171"/>
      <c r="BM52" s="145">
        <v>0</v>
      </c>
      <c r="BN52" s="19"/>
      <c r="BO52" s="19"/>
      <c r="BP52" s="19"/>
      <c r="BQ52" s="19">
        <v>0</v>
      </c>
      <c r="BR52" s="19">
        <v>0</v>
      </c>
      <c r="BS52" s="19">
        <v>0</v>
      </c>
      <c r="BT52" s="19"/>
      <c r="BU52" s="19"/>
      <c r="BV52" s="19"/>
      <c r="BW52" s="19"/>
      <c r="BX52" s="19"/>
      <c r="BY52" s="19">
        <v>0</v>
      </c>
      <c r="BZ52" s="19">
        <v>0</v>
      </c>
      <c r="CA52" s="19">
        <v>0</v>
      </c>
      <c r="CB52" s="58"/>
      <c r="CC52" s="59"/>
      <c r="CD52" s="3"/>
      <c r="CE52" s="50">
        <f>SUM(AO52:AZ52)</f>
        <v>0</v>
      </c>
      <c r="CF52" s="121">
        <f>SUM(BA52:BL52)</f>
        <v>0</v>
      </c>
      <c r="CG52" s="74">
        <f>SUM(BM52:CC52)</f>
        <v>0</v>
      </c>
      <c r="CH52" s="74">
        <f>CG52+CF52+CE52</f>
        <v>0</v>
      </c>
      <c r="CI52" s="16"/>
      <c r="CJ52" s="77">
        <f>CH52-AC52</f>
        <v>-203107</v>
      </c>
      <c r="CK52" s="43"/>
      <c r="CL52" s="138">
        <f>CH52-C52</f>
        <v>0</v>
      </c>
      <c r="CM52" s="16"/>
      <c r="CN52" s="165">
        <v>203107</v>
      </c>
      <c r="CO52" s="16"/>
      <c r="CP52" s="138">
        <f>CH52-CN52</f>
        <v>-203107</v>
      </c>
      <c r="CQ52" s="16"/>
      <c r="CR52" s="254"/>
    </row>
    <row r="53" spans="1:96" x14ac:dyDescent="0.25">
      <c r="A53" s="264"/>
      <c r="B53" s="255"/>
      <c r="C53" s="183"/>
      <c r="D53" s="238"/>
      <c r="E53" s="103"/>
      <c r="F53" s="111"/>
      <c r="G53" s="111"/>
      <c r="H53" s="34"/>
      <c r="I53" s="130"/>
      <c r="J53" s="103"/>
      <c r="K53" s="111"/>
      <c r="L53" s="111"/>
      <c r="M53" s="34"/>
      <c r="N53" s="130"/>
      <c r="O53" s="103"/>
      <c r="P53" s="111"/>
      <c r="Q53" s="111"/>
      <c r="R53" s="34"/>
      <c r="S53" s="132"/>
      <c r="T53" s="103"/>
      <c r="U53" s="111"/>
      <c r="V53" s="111"/>
      <c r="W53" s="34"/>
      <c r="X53" s="103"/>
      <c r="Y53" s="111"/>
      <c r="Z53" s="111"/>
      <c r="AA53" s="34"/>
      <c r="AB53" s="130"/>
      <c r="AC53" s="103"/>
      <c r="AD53" s="111"/>
      <c r="AE53" s="111"/>
      <c r="AF53" s="34"/>
      <c r="AG53" s="34">
        <f t="shared" si="29"/>
        <v>0</v>
      </c>
      <c r="AH53" s="130"/>
      <c r="AI53" s="28">
        <v>0</v>
      </c>
      <c r="AJ53" s="29"/>
      <c r="AK53" s="29"/>
      <c r="AL53" s="29"/>
      <c r="AM53" s="29">
        <f t="shared" si="32"/>
        <v>0</v>
      </c>
      <c r="AN53" s="130"/>
      <c r="AO53" s="113"/>
      <c r="AP53" s="16"/>
      <c r="AQ53" s="16"/>
      <c r="AR53" s="16"/>
      <c r="AS53" s="16"/>
      <c r="AT53" s="16"/>
      <c r="AU53" s="16"/>
      <c r="AV53" s="16"/>
      <c r="AW53" s="16"/>
      <c r="AX53" s="16"/>
      <c r="AY53" s="16"/>
      <c r="AZ53" s="114"/>
      <c r="BA53" s="54"/>
      <c r="BB53" s="3"/>
      <c r="BC53" s="3"/>
      <c r="BD53" s="3"/>
      <c r="BE53" s="148"/>
      <c r="BF53" s="148"/>
      <c r="BG53" s="154"/>
      <c r="BH53" s="3"/>
      <c r="BI53" s="3"/>
      <c r="BJ53" s="3"/>
      <c r="BK53" s="3"/>
      <c r="BL53" s="172"/>
      <c r="BM53" s="55"/>
      <c r="BN53" s="23"/>
      <c r="BO53" s="23"/>
      <c r="BP53" s="23"/>
      <c r="BQ53" s="23"/>
      <c r="BR53" s="23"/>
      <c r="BS53" s="23"/>
      <c r="BT53" s="23"/>
      <c r="BU53" s="23"/>
      <c r="BV53" s="23"/>
      <c r="BW53" s="23"/>
      <c r="BX53" s="23"/>
      <c r="BY53" s="23"/>
      <c r="BZ53" s="23"/>
      <c r="CA53" s="55"/>
      <c r="CB53" s="55"/>
      <c r="CC53" s="60"/>
      <c r="CD53" s="3"/>
      <c r="CE53" s="51"/>
      <c r="CF53" s="150"/>
      <c r="CG53" s="75"/>
      <c r="CH53" s="75"/>
      <c r="CI53" s="16"/>
      <c r="CJ53" s="75"/>
      <c r="CK53" s="43"/>
      <c r="CL53" s="140"/>
      <c r="CM53" s="16"/>
      <c r="CN53" s="167"/>
      <c r="CO53" s="16"/>
      <c r="CP53" s="140"/>
      <c r="CQ53" s="16"/>
      <c r="CR53" s="254"/>
    </row>
    <row r="54" spans="1:96" x14ac:dyDescent="0.25">
      <c r="A54" s="343" t="s">
        <v>141</v>
      </c>
      <c r="B54" s="344"/>
      <c r="C54" s="183">
        <f>(C11+C37+C46+C42)*0.2</f>
        <v>3377146.5280000004</v>
      </c>
      <c r="D54" s="238" t="e">
        <f>SUM(#REF!)</f>
        <v>#REF!</v>
      </c>
      <c r="E54" s="32">
        <f>SUM(F54:H54)</f>
        <v>3389065</v>
      </c>
      <c r="F54" s="37"/>
      <c r="G54" s="102">
        <v>3389065</v>
      </c>
      <c r="H54" s="110"/>
      <c r="I54" s="130"/>
      <c r="J54" s="32">
        <f>SUM(K54:M54)</f>
        <v>3380565</v>
      </c>
      <c r="K54" s="37">
        <v>59451</v>
      </c>
      <c r="L54" s="102">
        <v>3276863</v>
      </c>
      <c r="M54" s="110">
        <v>44251</v>
      </c>
      <c r="N54" s="130"/>
      <c r="O54" s="32">
        <f>SUM(P54:R54)</f>
        <v>3380565</v>
      </c>
      <c r="P54" s="37">
        <v>59451</v>
      </c>
      <c r="Q54" s="102">
        <f>3389065-8500-R54-P54</f>
        <v>3276863</v>
      </c>
      <c r="R54" s="110">
        <v>44251</v>
      </c>
      <c r="S54" s="132"/>
      <c r="T54" s="32">
        <f>SUM(U54:W54)</f>
        <v>3380565</v>
      </c>
      <c r="U54" s="37">
        <v>59451</v>
      </c>
      <c r="V54" s="102">
        <f>3389065-8500-W54-U54</f>
        <v>3276863</v>
      </c>
      <c r="W54" s="110">
        <v>44251</v>
      </c>
      <c r="X54" s="32">
        <f>SUM(Y54:AA54)</f>
        <v>3380565</v>
      </c>
      <c r="Y54" s="37">
        <v>59451</v>
      </c>
      <c r="Z54" s="102">
        <f>3389065-8500-AA54-Y54</f>
        <v>3276863</v>
      </c>
      <c r="AA54" s="110">
        <v>44251</v>
      </c>
      <c r="AB54" s="130"/>
      <c r="AC54" s="32">
        <v>3389065</v>
      </c>
      <c r="AD54" s="157">
        <f>SUM(AZ54)</f>
        <v>59451</v>
      </c>
      <c r="AE54" s="158">
        <f>3389065-8500-AF54-AD54</f>
        <v>3267616</v>
      </c>
      <c r="AF54" s="158">
        <f>SUM(BM54:CC54)</f>
        <v>53498</v>
      </c>
      <c r="AG54" s="158">
        <f t="shared" si="29"/>
        <v>8500</v>
      </c>
      <c r="AH54" s="130"/>
      <c r="AI54" s="28">
        <v>0</v>
      </c>
      <c r="AJ54" s="31">
        <v>0</v>
      </c>
      <c r="AK54" s="31">
        <v>0</v>
      </c>
      <c r="AL54" s="31">
        <v>0</v>
      </c>
      <c r="AM54" s="31">
        <f>AI54-SUM(AJ54:AL54)</f>
        <v>0</v>
      </c>
      <c r="AN54" s="130"/>
      <c r="AO54" s="109"/>
      <c r="AP54" s="109"/>
      <c r="AQ54" s="109"/>
      <c r="AR54" s="109"/>
      <c r="AS54" s="109"/>
      <c r="AT54" s="109"/>
      <c r="AU54" s="109"/>
      <c r="AV54" s="109"/>
      <c r="AW54" s="109"/>
      <c r="AX54" s="109"/>
      <c r="AY54" s="109"/>
      <c r="AZ54" s="38">
        <f>59451</f>
        <v>59451</v>
      </c>
      <c r="BA54" s="61">
        <v>67382.915000000008</v>
      </c>
      <c r="BB54" s="5">
        <f>(BB11)*0.2</f>
        <v>0</v>
      </c>
      <c r="BC54" s="5">
        <f>3566+172419</f>
        <v>175985</v>
      </c>
      <c r="BD54" s="5">
        <f>293720+25637</f>
        <v>319357</v>
      </c>
      <c r="BE54" s="5">
        <f>33792+263686-293720-25637+293721</f>
        <v>271842</v>
      </c>
      <c r="BF54" s="5">
        <f>5902+263686-263686+190847+1</f>
        <v>196750</v>
      </c>
      <c r="BG54" s="5">
        <v>257947.24</v>
      </c>
      <c r="BH54" s="5">
        <v>103842</v>
      </c>
      <c r="BI54" s="5">
        <f>181532</f>
        <v>181532</v>
      </c>
      <c r="BJ54" s="5">
        <v>165043</v>
      </c>
      <c r="BK54" s="5">
        <v>198998</v>
      </c>
      <c r="BL54" s="171">
        <v>161887.69533333331</v>
      </c>
      <c r="BM54" s="147">
        <v>0</v>
      </c>
      <c r="BN54" s="62">
        <f t="shared" ref="BN54:BS54" si="49">(BN11+BN46+BN50+BN52)*0.2</f>
        <v>0</v>
      </c>
      <c r="BO54" s="62">
        <f t="shared" si="49"/>
        <v>0</v>
      </c>
      <c r="BP54" s="62">
        <f t="shared" si="49"/>
        <v>0</v>
      </c>
      <c r="BQ54" s="62">
        <f t="shared" si="49"/>
        <v>0</v>
      </c>
      <c r="BR54" s="62">
        <f t="shared" si="49"/>
        <v>0</v>
      </c>
      <c r="BS54" s="62">
        <f t="shared" si="49"/>
        <v>0</v>
      </c>
      <c r="BT54" s="62"/>
      <c r="BU54" s="62"/>
      <c r="BV54" s="62"/>
      <c r="BW54" s="62"/>
      <c r="BX54" s="62"/>
      <c r="BY54" s="62">
        <f>(BY11+BY46+BY50+BY52)*0.2</f>
        <v>0</v>
      </c>
      <c r="BZ54" s="62">
        <f>(BZ11+BZ46+BZ50+BZ52)*0.2</f>
        <v>0</v>
      </c>
      <c r="CA54" s="62">
        <f>(CA11+CA46+CA50+CA52)*0.2</f>
        <v>0</v>
      </c>
      <c r="CB54" s="62">
        <f>(CB11+CB46+CB50+CB52)*0.2</f>
        <v>0</v>
      </c>
      <c r="CC54" s="62">
        <f>((CC11+CC46+CC50+CC52)*0.2)+53498</f>
        <v>53498</v>
      </c>
      <c r="CD54" s="3"/>
      <c r="CE54" s="50">
        <f>SUM(AO54:AZ54)</f>
        <v>59451</v>
      </c>
      <c r="CF54" s="121">
        <f>SUM(BA54:BL54)</f>
        <v>2100566.8503333335</v>
      </c>
      <c r="CG54" s="74">
        <f>SUM(BM54:CC54)</f>
        <v>53498</v>
      </c>
      <c r="CH54" s="74">
        <f>CG54+CF54+CE54</f>
        <v>2213515.8503333335</v>
      </c>
      <c r="CI54" s="16"/>
      <c r="CJ54" s="77">
        <f>CH54-AC54</f>
        <v>-1175549.1496666665</v>
      </c>
      <c r="CK54" s="43"/>
      <c r="CL54" s="138">
        <f>CH54-C54</f>
        <v>-1163630.6776666669</v>
      </c>
      <c r="CM54" s="16"/>
      <c r="CN54" s="165">
        <v>3389065</v>
      </c>
      <c r="CO54" s="16"/>
      <c r="CP54" s="138">
        <f>CH54-CN54</f>
        <v>-1175549.1496666665</v>
      </c>
      <c r="CQ54" s="16"/>
      <c r="CR54" s="254"/>
    </row>
    <row r="55" spans="1:96" x14ac:dyDescent="0.25">
      <c r="A55" s="296"/>
      <c r="B55" s="328"/>
      <c r="C55" s="183"/>
      <c r="D55" s="238"/>
      <c r="E55" s="220"/>
      <c r="F55" s="132"/>
      <c r="G55" s="132"/>
      <c r="H55" s="221"/>
      <c r="I55" s="130"/>
      <c r="J55" s="220"/>
      <c r="K55" s="132"/>
      <c r="L55" s="132"/>
      <c r="M55" s="221"/>
      <c r="N55" s="130"/>
      <c r="O55" s="220"/>
      <c r="P55" s="132"/>
      <c r="Q55" s="132"/>
      <c r="R55" s="221"/>
      <c r="S55" s="132"/>
      <c r="T55" s="220"/>
      <c r="U55" s="132"/>
      <c r="V55" s="132"/>
      <c r="W55" s="221"/>
      <c r="X55" s="220"/>
      <c r="Y55" s="132"/>
      <c r="Z55" s="132"/>
      <c r="AA55" s="221"/>
      <c r="AB55" s="130"/>
      <c r="AC55" s="220"/>
      <c r="AD55" s="329"/>
      <c r="AE55" s="329"/>
      <c r="AF55" s="157"/>
      <c r="AG55" s="157"/>
      <c r="AH55" s="130"/>
      <c r="AI55" s="28"/>
      <c r="AJ55" s="31"/>
      <c r="AK55" s="31"/>
      <c r="AL55" s="31"/>
      <c r="AM55" s="31"/>
      <c r="AN55" s="130"/>
      <c r="AO55" s="113"/>
      <c r="AP55" s="16"/>
      <c r="AQ55" s="16"/>
      <c r="AR55" s="16"/>
      <c r="AS55" s="16"/>
      <c r="AT55" s="16"/>
      <c r="AU55" s="16"/>
      <c r="AV55" s="16"/>
      <c r="AW55" s="16"/>
      <c r="AX55" s="16"/>
      <c r="AY55" s="16"/>
      <c r="AZ55" s="44"/>
      <c r="BA55" s="222"/>
      <c r="BB55" s="148"/>
      <c r="BC55" s="148"/>
      <c r="BD55" s="148"/>
      <c r="BE55" s="148"/>
      <c r="BF55" s="148"/>
      <c r="BG55" s="148"/>
      <c r="BH55" s="148"/>
      <c r="BI55" s="148"/>
      <c r="BJ55" s="148"/>
      <c r="BK55" s="148"/>
      <c r="BL55" s="223"/>
      <c r="BM55" s="330"/>
      <c r="BN55" s="330"/>
      <c r="BO55" s="330"/>
      <c r="BP55" s="330"/>
      <c r="BQ55" s="330"/>
      <c r="BR55" s="330"/>
      <c r="BS55" s="330"/>
      <c r="BT55" s="330"/>
      <c r="BU55" s="330"/>
      <c r="BV55" s="330"/>
      <c r="BW55" s="330"/>
      <c r="BX55" s="330"/>
      <c r="BY55" s="330"/>
      <c r="BZ55" s="330"/>
      <c r="CA55" s="330"/>
      <c r="CB55" s="330"/>
      <c r="CC55" s="330"/>
      <c r="CD55" s="3"/>
      <c r="CE55" s="51"/>
      <c r="CF55" s="150"/>
      <c r="CG55" s="209"/>
      <c r="CH55" s="209"/>
      <c r="CI55" s="16"/>
      <c r="CJ55" s="331"/>
      <c r="CK55" s="43"/>
      <c r="CL55" s="212"/>
      <c r="CM55" s="16"/>
      <c r="CN55" s="332"/>
      <c r="CO55" s="16"/>
      <c r="CP55" s="212"/>
      <c r="CQ55" s="16"/>
      <c r="CR55" s="254"/>
    </row>
    <row r="56" spans="1:96" x14ac:dyDescent="0.25">
      <c r="A56" s="296" t="s">
        <v>181</v>
      </c>
      <c r="B56" s="328"/>
      <c r="C56" s="183">
        <v>-269342.77</v>
      </c>
      <c r="D56" s="238"/>
      <c r="E56" s="220"/>
      <c r="F56" s="132"/>
      <c r="G56" s="132"/>
      <c r="H56" s="221"/>
      <c r="I56" s="130"/>
      <c r="J56" s="220"/>
      <c r="K56" s="132"/>
      <c r="L56" s="132"/>
      <c r="M56" s="221"/>
      <c r="N56" s="130"/>
      <c r="O56" s="220"/>
      <c r="P56" s="132"/>
      <c r="Q56" s="132"/>
      <c r="R56" s="221"/>
      <c r="S56" s="132"/>
      <c r="T56" s="220"/>
      <c r="U56" s="132"/>
      <c r="V56" s="132"/>
      <c r="W56" s="221"/>
      <c r="X56" s="220"/>
      <c r="Y56" s="132"/>
      <c r="Z56" s="132"/>
      <c r="AA56" s="221"/>
      <c r="AB56" s="130"/>
      <c r="AC56" s="220"/>
      <c r="AD56" s="329"/>
      <c r="AE56" s="329"/>
      <c r="AF56" s="157"/>
      <c r="AG56" s="157"/>
      <c r="AH56" s="130"/>
      <c r="AI56" s="28"/>
      <c r="AJ56" s="31"/>
      <c r="AK56" s="31"/>
      <c r="AL56" s="31"/>
      <c r="AM56" s="31"/>
      <c r="AN56" s="130"/>
      <c r="AO56" s="113"/>
      <c r="AP56" s="16"/>
      <c r="AQ56" s="16"/>
      <c r="AR56" s="16"/>
      <c r="AS56" s="16"/>
      <c r="AT56" s="16"/>
      <c r="AU56" s="16"/>
      <c r="AV56" s="16"/>
      <c r="AW56" s="16"/>
      <c r="AX56" s="16"/>
      <c r="AY56" s="16"/>
      <c r="AZ56" s="44"/>
      <c r="BA56" s="222"/>
      <c r="BB56" s="148"/>
      <c r="BC56" s="148"/>
      <c r="BD56" s="148"/>
      <c r="BE56" s="148"/>
      <c r="BF56" s="148"/>
      <c r="BG56" s="148"/>
      <c r="BH56" s="148"/>
      <c r="BI56" s="148"/>
      <c r="BJ56" s="148"/>
      <c r="BK56" s="148"/>
      <c r="BL56" s="223"/>
      <c r="BM56" s="330"/>
      <c r="BN56" s="330"/>
      <c r="BO56" s="330"/>
      <c r="BP56" s="330"/>
      <c r="BQ56" s="330"/>
      <c r="BR56" s="330"/>
      <c r="BS56" s="330"/>
      <c r="BT56" s="330"/>
      <c r="BU56" s="330"/>
      <c r="BV56" s="330"/>
      <c r="BW56" s="330"/>
      <c r="BX56" s="330"/>
      <c r="BY56" s="330"/>
      <c r="BZ56" s="330"/>
      <c r="CA56" s="330"/>
      <c r="CB56" s="330"/>
      <c r="CC56" s="330"/>
      <c r="CD56" s="3"/>
      <c r="CE56" s="51"/>
      <c r="CF56" s="150"/>
      <c r="CG56" s="209"/>
      <c r="CH56" s="209"/>
      <c r="CI56" s="16"/>
      <c r="CJ56" s="331"/>
      <c r="CK56" s="43"/>
      <c r="CL56" s="212"/>
      <c r="CM56" s="16"/>
      <c r="CN56" s="332"/>
      <c r="CO56" s="16"/>
      <c r="CP56" s="212"/>
      <c r="CQ56" s="16"/>
      <c r="CR56" s="254"/>
    </row>
    <row r="57" spans="1:96" x14ac:dyDescent="0.25">
      <c r="A57" s="258"/>
      <c r="B57" s="16"/>
      <c r="C57" s="184"/>
      <c r="D57" s="16"/>
      <c r="E57" s="220"/>
      <c r="F57" s="132"/>
      <c r="G57" s="132"/>
      <c r="H57" s="221"/>
      <c r="I57" s="130"/>
      <c r="J57" s="220"/>
      <c r="K57" s="132"/>
      <c r="L57" s="132"/>
      <c r="M57" s="221"/>
      <c r="N57" s="130"/>
      <c r="O57" s="220"/>
      <c r="P57" s="132"/>
      <c r="Q57" s="132"/>
      <c r="R57" s="221"/>
      <c r="S57" s="132"/>
      <c r="T57" s="220"/>
      <c r="U57" s="132"/>
      <c r="V57" s="132"/>
      <c r="W57" s="221"/>
      <c r="X57" s="220"/>
      <c r="Y57" s="132"/>
      <c r="Z57" s="132"/>
      <c r="AA57" s="221"/>
      <c r="AB57" s="130"/>
      <c r="AC57" s="220"/>
      <c r="AD57" s="132"/>
      <c r="AE57" s="132"/>
      <c r="AF57" s="221"/>
      <c r="AG57" s="221"/>
      <c r="AH57" s="130"/>
      <c r="AI57" s="28"/>
      <c r="AJ57" s="31"/>
      <c r="AK57" s="31"/>
      <c r="AL57" s="29"/>
      <c r="AM57" s="29"/>
      <c r="AN57" s="130"/>
      <c r="AO57" s="40"/>
      <c r="AP57" s="45"/>
      <c r="AQ57" s="45"/>
      <c r="AR57" s="45"/>
      <c r="AS57" s="45"/>
      <c r="AT57" s="148"/>
      <c r="AU57" s="148"/>
      <c r="AV57" s="45"/>
      <c r="AW57" s="45"/>
      <c r="AX57" s="45"/>
      <c r="AY57" s="45"/>
      <c r="AZ57" s="45"/>
      <c r="BA57" s="222"/>
      <c r="BB57" s="148"/>
      <c r="BC57" s="148"/>
      <c r="BD57" s="148"/>
      <c r="BE57" s="148"/>
      <c r="BF57" s="148"/>
      <c r="BG57" s="154"/>
      <c r="BH57" s="148"/>
      <c r="BI57" s="148"/>
      <c r="BJ57" s="148"/>
      <c r="BK57" s="148"/>
      <c r="BL57" s="223"/>
      <c r="BM57" s="55"/>
      <c r="BN57" s="23"/>
      <c r="BO57" s="23"/>
      <c r="BP57" s="23"/>
      <c r="BQ57" s="23"/>
      <c r="BR57" s="23"/>
      <c r="BS57" s="23"/>
      <c r="BT57" s="23"/>
      <c r="BU57" s="23"/>
      <c r="BV57" s="23"/>
      <c r="BW57" s="23"/>
      <c r="BX57" s="23"/>
      <c r="BY57" s="23"/>
      <c r="BZ57" s="23"/>
      <c r="CA57" s="55"/>
      <c r="CB57" s="55"/>
      <c r="CC57" s="60"/>
      <c r="CD57" s="3"/>
      <c r="CE57" s="51"/>
      <c r="CF57" s="150"/>
      <c r="CG57" s="209"/>
      <c r="CH57" s="209"/>
      <c r="CI57" s="16"/>
      <c r="CJ57" s="209"/>
      <c r="CK57" s="43"/>
      <c r="CL57" s="210"/>
      <c r="CM57" s="16"/>
      <c r="CN57" s="211"/>
      <c r="CO57" s="16"/>
      <c r="CP57" s="210"/>
      <c r="CQ57" s="16"/>
      <c r="CR57" s="254"/>
    </row>
    <row r="58" spans="1:96" x14ac:dyDescent="0.25">
      <c r="A58" s="258" t="s">
        <v>38</v>
      </c>
      <c r="B58" s="16"/>
      <c r="C58" s="183">
        <f>C11+C37+C46+CC4252+C54+C42+C56</f>
        <v>19993536.398000002</v>
      </c>
      <c r="D58" s="16"/>
      <c r="E58" s="220"/>
      <c r="F58" s="132"/>
      <c r="G58" s="132"/>
      <c r="H58" s="221"/>
      <c r="I58" s="130"/>
      <c r="J58" s="220"/>
      <c r="K58" s="132"/>
      <c r="L58" s="132"/>
      <c r="M58" s="221"/>
      <c r="N58" s="130"/>
      <c r="O58" s="220"/>
      <c r="P58" s="132"/>
      <c r="Q58" s="132"/>
      <c r="R58" s="221"/>
      <c r="S58" s="132"/>
      <c r="T58" s="220"/>
      <c r="U58" s="132"/>
      <c r="V58" s="132"/>
      <c r="W58" s="221"/>
      <c r="X58" s="220"/>
      <c r="Y58" s="132"/>
      <c r="Z58" s="132"/>
      <c r="AA58" s="221"/>
      <c r="AB58" s="130"/>
      <c r="AC58" s="220"/>
      <c r="AD58" s="132"/>
      <c r="AE58" s="132"/>
      <c r="AF58" s="221"/>
      <c r="AG58" s="221"/>
      <c r="AH58" s="130"/>
      <c r="AI58" s="28"/>
      <c r="AJ58" s="31"/>
      <c r="AK58" s="31"/>
      <c r="AL58" s="29"/>
      <c r="AM58" s="29"/>
      <c r="AN58" s="130"/>
      <c r="AO58" s="40"/>
      <c r="AP58" s="45"/>
      <c r="AQ58" s="45"/>
      <c r="AR58" s="45"/>
      <c r="AS58" s="45"/>
      <c r="AT58" s="148"/>
      <c r="AU58" s="148"/>
      <c r="AV58" s="45"/>
      <c r="AW58" s="45"/>
      <c r="AX58" s="45"/>
      <c r="AY58" s="45"/>
      <c r="AZ58" s="45"/>
      <c r="BA58" s="222"/>
      <c r="BB58" s="148"/>
      <c r="BC58" s="148"/>
      <c r="BD58" s="148"/>
      <c r="BE58" s="148"/>
      <c r="BF58" s="148"/>
      <c r="BG58" s="154"/>
      <c r="BH58" s="148"/>
      <c r="BI58" s="148"/>
      <c r="BJ58" s="148"/>
      <c r="BK58" s="148"/>
      <c r="BL58" s="223"/>
      <c r="BM58" s="55"/>
      <c r="BN58" s="23"/>
      <c r="BO58" s="23"/>
      <c r="BP58" s="23"/>
      <c r="BQ58" s="23"/>
      <c r="BR58" s="23"/>
      <c r="BS58" s="23"/>
      <c r="BT58" s="23"/>
      <c r="BU58" s="23"/>
      <c r="BV58" s="23"/>
      <c r="BW58" s="23"/>
      <c r="BX58" s="23"/>
      <c r="BY58" s="23"/>
      <c r="BZ58" s="23"/>
      <c r="CA58" s="55"/>
      <c r="CB58" s="55"/>
      <c r="CC58" s="60"/>
      <c r="CD58" s="3"/>
      <c r="CE58" s="51"/>
      <c r="CF58" s="150"/>
      <c r="CG58" s="209"/>
      <c r="CH58" s="209"/>
      <c r="CI58" s="16"/>
      <c r="CJ58" s="209"/>
      <c r="CK58" s="43"/>
      <c r="CL58" s="210"/>
      <c r="CM58" s="16"/>
      <c r="CN58" s="211"/>
      <c r="CO58" s="16"/>
      <c r="CP58" s="210"/>
      <c r="CQ58" s="16"/>
      <c r="CR58" s="254"/>
    </row>
    <row r="59" spans="1:96" x14ac:dyDescent="0.25">
      <c r="A59" s="258" t="s">
        <v>125</v>
      </c>
      <c r="B59" s="16"/>
      <c r="C59" s="239">
        <v>20196977</v>
      </c>
      <c r="D59" s="16"/>
      <c r="E59" s="220"/>
      <c r="F59" s="132"/>
      <c r="G59" s="132"/>
      <c r="H59" s="221"/>
      <c r="I59" s="130"/>
      <c r="J59" s="220"/>
      <c r="K59" s="132"/>
      <c r="L59" s="132"/>
      <c r="M59" s="221"/>
      <c r="N59" s="130"/>
      <c r="O59" s="220"/>
      <c r="P59" s="132"/>
      <c r="Q59" s="132"/>
      <c r="R59" s="221"/>
      <c r="S59" s="132"/>
      <c r="T59" s="220"/>
      <c r="U59" s="132"/>
      <c r="V59" s="132"/>
      <c r="W59" s="221"/>
      <c r="X59" s="220"/>
      <c r="Y59" s="132"/>
      <c r="Z59" s="132"/>
      <c r="AA59" s="221"/>
      <c r="AB59" s="130"/>
      <c r="AC59" s="220"/>
      <c r="AD59" s="132"/>
      <c r="AE59" s="132"/>
      <c r="AF59" s="221"/>
      <c r="AG59" s="221"/>
      <c r="AH59" s="130"/>
      <c r="AI59" s="103"/>
      <c r="AJ59" s="104"/>
      <c r="AK59" s="104"/>
      <c r="AL59" s="34"/>
      <c r="AM59" s="34"/>
      <c r="AN59" s="130"/>
      <c r="AO59" s="40"/>
      <c r="AP59" s="45"/>
      <c r="AQ59" s="45"/>
      <c r="AR59" s="45"/>
      <c r="AS59" s="45"/>
      <c r="AT59" s="148"/>
      <c r="AU59" s="148"/>
      <c r="AV59" s="45"/>
      <c r="AW59" s="45"/>
      <c r="AX59" s="45"/>
      <c r="AY59" s="45"/>
      <c r="AZ59" s="45"/>
      <c r="BA59" s="222"/>
      <c r="BB59" s="148"/>
      <c r="BC59" s="148"/>
      <c r="BD59" s="148"/>
      <c r="BE59" s="148"/>
      <c r="BF59" s="148"/>
      <c r="BG59" s="154"/>
      <c r="BH59" s="148"/>
      <c r="BI59" s="148"/>
      <c r="BJ59" s="148"/>
      <c r="BK59" s="148"/>
      <c r="BL59" s="223"/>
      <c r="BM59" s="55"/>
      <c r="BN59" s="23"/>
      <c r="BO59" s="23"/>
      <c r="BP59" s="23"/>
      <c r="BQ59" s="23"/>
      <c r="BR59" s="23"/>
      <c r="BS59" s="23"/>
      <c r="BT59" s="23"/>
      <c r="BU59" s="23"/>
      <c r="BV59" s="23"/>
      <c r="BW59" s="23"/>
      <c r="BX59" s="23"/>
      <c r="BY59" s="23"/>
      <c r="BZ59" s="23"/>
      <c r="CA59" s="55"/>
      <c r="CB59" s="55"/>
      <c r="CC59" s="60"/>
      <c r="CD59" s="3"/>
      <c r="CE59" s="51"/>
      <c r="CF59" s="150"/>
      <c r="CG59" s="209"/>
      <c r="CH59" s="209"/>
      <c r="CI59" s="16"/>
      <c r="CJ59" s="209"/>
      <c r="CK59" s="43"/>
      <c r="CL59" s="210"/>
      <c r="CM59" s="16"/>
      <c r="CN59" s="211"/>
      <c r="CO59" s="16"/>
      <c r="CP59" s="210"/>
      <c r="CQ59" s="16"/>
      <c r="CR59" s="254"/>
    </row>
    <row r="60" spans="1:96" ht="15.75" thickBot="1" x14ac:dyDescent="0.3">
      <c r="A60" s="297" t="s">
        <v>140</v>
      </c>
      <c r="B60" s="270"/>
      <c r="C60" s="333">
        <f>C59-C58</f>
        <v>203440.60199999809</v>
      </c>
      <c r="D60" s="271"/>
      <c r="E60" s="272"/>
      <c r="F60" s="273"/>
      <c r="G60" s="273"/>
      <c r="H60" s="274"/>
      <c r="I60" s="275"/>
      <c r="J60" s="272"/>
      <c r="K60" s="273"/>
      <c r="L60" s="273"/>
      <c r="M60" s="274"/>
      <c r="N60" s="275"/>
      <c r="O60" s="272"/>
      <c r="P60" s="273"/>
      <c r="Q60" s="273"/>
      <c r="R60" s="274"/>
      <c r="S60" s="276"/>
      <c r="T60" s="272"/>
      <c r="U60" s="273"/>
      <c r="V60" s="273"/>
      <c r="W60" s="274"/>
      <c r="X60" s="272"/>
      <c r="Y60" s="273"/>
      <c r="Z60" s="273"/>
      <c r="AA60" s="274"/>
      <c r="AB60" s="275"/>
      <c r="AC60" s="272"/>
      <c r="AD60" s="273"/>
      <c r="AE60" s="273"/>
      <c r="AF60" s="274"/>
      <c r="AG60" s="274">
        <f t="shared" si="29"/>
        <v>0</v>
      </c>
      <c r="AH60" s="275"/>
      <c r="AI60" s="272"/>
      <c r="AJ60" s="273"/>
      <c r="AK60" s="273"/>
      <c r="AL60" s="274"/>
      <c r="AM60" s="274">
        <f t="shared" si="32"/>
        <v>0</v>
      </c>
      <c r="AN60" s="275"/>
      <c r="AO60" s="277"/>
      <c r="AP60" s="278"/>
      <c r="AQ60" s="278"/>
      <c r="AR60" s="278"/>
      <c r="AS60" s="278"/>
      <c r="AT60" s="278"/>
      <c r="AU60" s="278"/>
      <c r="AV60" s="278"/>
      <c r="AW60" s="278"/>
      <c r="AX60" s="278"/>
      <c r="AY60" s="278"/>
      <c r="AZ60" s="278"/>
      <c r="BA60" s="279"/>
      <c r="BB60" s="280"/>
      <c r="BC60" s="280"/>
      <c r="BD60" s="280"/>
      <c r="BE60" s="281"/>
      <c r="BF60" s="281"/>
      <c r="BG60" s="282"/>
      <c r="BH60" s="280"/>
      <c r="BI60" s="280"/>
      <c r="BJ60" s="280"/>
      <c r="BK60" s="280"/>
      <c r="BL60" s="283"/>
      <c r="BM60" s="284"/>
      <c r="BN60" s="285"/>
      <c r="BO60" s="285"/>
      <c r="BP60" s="285"/>
      <c r="BQ60" s="285"/>
      <c r="BR60" s="285"/>
      <c r="BS60" s="285"/>
      <c r="BT60" s="285"/>
      <c r="BU60" s="285"/>
      <c r="BV60" s="285"/>
      <c r="BW60" s="285"/>
      <c r="BX60" s="285"/>
      <c r="BY60" s="285"/>
      <c r="BZ60" s="285"/>
      <c r="CA60" s="284"/>
      <c r="CB60" s="284"/>
      <c r="CC60" s="286"/>
      <c r="CD60" s="280"/>
      <c r="CE60" s="287"/>
      <c r="CF60" s="288"/>
      <c r="CG60" s="289"/>
      <c r="CH60" s="289"/>
      <c r="CI60" s="270"/>
      <c r="CJ60" s="290"/>
      <c r="CK60" s="291"/>
      <c r="CL60" s="292"/>
      <c r="CM60" s="270"/>
      <c r="CN60" s="293"/>
      <c r="CO60" s="270"/>
      <c r="CP60" s="292"/>
      <c r="CQ60" s="270"/>
      <c r="CR60" s="294"/>
    </row>
    <row r="61" spans="1:96" x14ac:dyDescent="0.25">
      <c r="A61" s="27"/>
      <c r="B61" s="27"/>
      <c r="C61" s="185"/>
      <c r="D61" s="10"/>
      <c r="E61" s="8"/>
      <c r="F61" s="27"/>
      <c r="G61" s="27"/>
      <c r="H61" s="27"/>
      <c r="I61" s="44"/>
      <c r="J61" s="8"/>
      <c r="K61" s="27"/>
      <c r="L61" s="27"/>
      <c r="M61" s="27"/>
      <c r="N61" s="27"/>
      <c r="O61" s="8"/>
      <c r="P61" s="27"/>
      <c r="Q61" s="27"/>
      <c r="R61" s="27"/>
      <c r="S61" s="36"/>
      <c r="T61" s="8"/>
      <c r="U61" s="27"/>
      <c r="V61" s="27"/>
      <c r="W61" s="27"/>
      <c r="X61" s="27"/>
      <c r="Y61" s="27"/>
      <c r="Z61" s="27"/>
      <c r="AA61" s="27"/>
      <c r="AB61" s="27"/>
      <c r="AC61" s="27"/>
      <c r="AD61" s="27"/>
      <c r="AE61" s="27"/>
      <c r="AF61" s="27"/>
      <c r="AG61" s="27"/>
      <c r="AH61" s="27"/>
      <c r="AI61" s="27"/>
      <c r="AJ61" s="27"/>
      <c r="AK61" s="27"/>
      <c r="AL61" s="27"/>
      <c r="AM61" s="27"/>
      <c r="AN61" s="27"/>
      <c r="AO61" s="7"/>
      <c r="AP61" s="7"/>
      <c r="AQ61" s="7"/>
      <c r="AR61" s="7"/>
      <c r="AS61" s="7"/>
      <c r="AT61" s="7"/>
      <c r="AU61" s="7"/>
      <c r="AV61" s="7"/>
      <c r="AW61" s="7"/>
      <c r="AX61" s="7"/>
      <c r="AY61" s="7"/>
      <c r="AZ61" s="45"/>
      <c r="BA61" s="22"/>
      <c r="BB61" s="22"/>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3"/>
    </row>
    <row r="62" spans="1:96" x14ac:dyDescent="0.25">
      <c r="A62" s="27"/>
      <c r="B62" s="27"/>
      <c r="C62" s="185"/>
      <c r="D62" s="10"/>
      <c r="E62" s="8"/>
      <c r="F62" s="27"/>
      <c r="G62" s="27"/>
      <c r="H62" s="27"/>
      <c r="I62" s="44"/>
      <c r="J62" s="8"/>
      <c r="K62" s="27"/>
      <c r="L62" s="27"/>
      <c r="M62" s="27"/>
      <c r="N62" s="27"/>
      <c r="O62" s="8"/>
      <c r="P62" s="27"/>
      <c r="Q62" s="27"/>
      <c r="R62" s="27"/>
      <c r="S62" s="36"/>
      <c r="T62" s="8"/>
      <c r="U62" s="27"/>
      <c r="V62" s="27"/>
      <c r="W62" s="27"/>
      <c r="X62" s="27"/>
      <c r="Y62" s="27"/>
      <c r="Z62" s="27"/>
      <c r="AA62" s="27"/>
      <c r="AB62" s="27"/>
      <c r="AC62" s="27"/>
      <c r="AD62" s="27"/>
      <c r="AE62" s="27"/>
      <c r="AF62" s="27"/>
      <c r="AG62" s="27"/>
      <c r="AH62" s="27"/>
      <c r="AI62" s="27"/>
      <c r="AJ62" s="27"/>
      <c r="AK62" s="27"/>
      <c r="AL62" s="27"/>
      <c r="AM62" s="27"/>
      <c r="AN62" s="27"/>
      <c r="AO62" s="7"/>
      <c r="AP62" s="7"/>
      <c r="AQ62" s="7"/>
      <c r="AR62" s="7"/>
      <c r="AS62" s="7"/>
      <c r="AT62" s="7"/>
      <c r="AU62" s="7"/>
      <c r="AV62" s="7"/>
      <c r="AW62" s="7"/>
      <c r="AX62" s="7"/>
      <c r="AY62" s="7"/>
      <c r="AZ62" s="45"/>
      <c r="BA62" s="22"/>
      <c r="BB62" s="22"/>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3"/>
    </row>
    <row r="63" spans="1:96" x14ac:dyDescent="0.25">
      <c r="A63" s="27"/>
      <c r="B63" s="27"/>
      <c r="C63" s="185"/>
      <c r="D63" s="10"/>
      <c r="E63" s="8"/>
      <c r="F63" s="27"/>
      <c r="G63" s="27"/>
      <c r="H63" s="27"/>
      <c r="I63" s="44"/>
      <c r="J63" s="8"/>
      <c r="K63" s="27"/>
      <c r="L63" s="27"/>
      <c r="M63" s="27"/>
      <c r="N63" s="27"/>
      <c r="O63" s="8"/>
      <c r="P63" s="27"/>
      <c r="Q63" s="27"/>
      <c r="R63" s="27"/>
      <c r="S63" s="36"/>
      <c r="T63" s="8"/>
      <c r="U63" s="27"/>
      <c r="V63" s="27"/>
      <c r="W63" s="27"/>
      <c r="X63" s="27"/>
      <c r="Y63" s="27"/>
      <c r="Z63" s="27"/>
      <c r="AA63" s="27"/>
      <c r="AB63" s="27"/>
      <c r="AC63" s="27"/>
      <c r="AD63" s="27"/>
      <c r="AE63" s="27"/>
      <c r="AF63" s="27"/>
      <c r="AG63" s="27"/>
      <c r="AH63" s="27"/>
      <c r="AI63" s="27"/>
      <c r="AJ63" s="27"/>
      <c r="AK63" s="27"/>
      <c r="AL63" s="27"/>
      <c r="AM63" s="27"/>
      <c r="AN63" s="27"/>
      <c r="AO63" s="7"/>
      <c r="AP63" s="7"/>
      <c r="AQ63" s="7"/>
      <c r="AR63" s="7"/>
      <c r="AS63" s="7"/>
      <c r="AT63" s="7"/>
      <c r="AU63" s="7"/>
      <c r="AV63" s="7"/>
      <c r="AW63" s="7"/>
      <c r="AX63" s="7"/>
      <c r="AY63" s="7"/>
      <c r="AZ63" s="45"/>
      <c r="BA63" s="22"/>
      <c r="BB63" s="22"/>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3"/>
    </row>
    <row r="64" spans="1:96" x14ac:dyDescent="0.25">
      <c r="A64" s="16"/>
      <c r="B64" s="27"/>
      <c r="C64" s="236"/>
      <c r="D64" s="10"/>
      <c r="E64" s="8"/>
      <c r="F64" s="27"/>
      <c r="G64" s="27"/>
      <c r="H64" s="27"/>
      <c r="I64" s="44"/>
      <c r="J64" s="8"/>
      <c r="K64" s="27"/>
      <c r="L64" s="27"/>
      <c r="M64" s="27"/>
      <c r="N64" s="27"/>
      <c r="O64" s="8"/>
      <c r="P64" s="27"/>
      <c r="Q64" s="27"/>
      <c r="R64" s="27"/>
      <c r="S64" s="36"/>
      <c r="T64" s="8"/>
      <c r="U64" s="27"/>
      <c r="V64" s="27"/>
      <c r="W64" s="27"/>
      <c r="X64" s="27"/>
      <c r="Y64" s="27"/>
      <c r="Z64" s="27"/>
      <c r="AA64" s="27"/>
      <c r="AB64" s="27"/>
      <c r="AC64" s="27"/>
      <c r="AD64" s="27"/>
      <c r="AE64" s="27"/>
      <c r="AF64" s="27"/>
      <c r="AG64" s="27"/>
      <c r="AH64" s="27"/>
      <c r="AI64" s="27"/>
      <c r="AJ64" s="27"/>
      <c r="AK64" s="27"/>
      <c r="AL64" s="27"/>
      <c r="AM64" s="27"/>
      <c r="AN64" s="27"/>
      <c r="AO64" s="7"/>
      <c r="AP64" s="7"/>
      <c r="AQ64" s="7"/>
      <c r="AR64" s="7"/>
      <c r="AS64" s="7"/>
      <c r="AT64" s="7"/>
      <c r="AU64" s="7"/>
      <c r="AV64" s="7"/>
      <c r="AW64" s="7"/>
      <c r="AX64" s="7"/>
      <c r="AY64" s="7"/>
      <c r="AZ64" s="45"/>
      <c r="BA64" s="22"/>
      <c r="BB64" s="22"/>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3"/>
    </row>
    <row r="65" spans="1:94" x14ac:dyDescent="0.25">
      <c r="A65" s="43"/>
      <c r="B65" s="27"/>
      <c r="C65" s="236"/>
      <c r="D65" s="10"/>
      <c r="E65" s="8"/>
      <c r="F65" s="27"/>
      <c r="G65" s="27"/>
      <c r="H65" s="27"/>
      <c r="I65" s="44"/>
      <c r="J65" s="8"/>
      <c r="K65" s="27"/>
      <c r="L65" s="27"/>
      <c r="M65" s="27"/>
      <c r="N65" s="27"/>
      <c r="O65" s="8"/>
      <c r="P65" s="27"/>
      <c r="Q65" s="27"/>
      <c r="R65" s="27"/>
      <c r="S65" s="36"/>
      <c r="T65" s="8"/>
      <c r="U65" s="27"/>
      <c r="V65" s="27"/>
      <c r="W65" s="27"/>
      <c r="X65" s="27"/>
      <c r="Y65" s="27"/>
      <c r="Z65" s="27"/>
      <c r="AA65" s="27"/>
      <c r="AB65" s="27"/>
      <c r="AC65" s="27"/>
      <c r="AD65" s="27"/>
      <c r="AE65" s="27"/>
      <c r="AF65" s="27"/>
      <c r="AG65" s="27"/>
      <c r="AH65" s="27"/>
      <c r="AI65" s="27"/>
      <c r="AJ65" s="27"/>
      <c r="AK65" s="27"/>
      <c r="AL65" s="27"/>
      <c r="AM65" s="27"/>
      <c r="AN65" s="27"/>
      <c r="AO65" s="7"/>
      <c r="AP65" s="7"/>
      <c r="AQ65" s="7"/>
      <c r="AR65" s="7"/>
      <c r="AS65" s="7"/>
      <c r="AT65" s="7"/>
      <c r="AU65" s="7"/>
      <c r="AV65" s="7"/>
      <c r="AW65" s="7"/>
      <c r="AX65" s="7"/>
      <c r="AY65" s="7"/>
      <c r="AZ65" s="45"/>
      <c r="BA65" s="22"/>
      <c r="BB65" s="22"/>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3"/>
    </row>
    <row r="66" spans="1:94" x14ac:dyDescent="0.25">
      <c r="A66" s="43"/>
      <c r="B66" s="27"/>
      <c r="C66" s="236"/>
      <c r="D66" s="10"/>
      <c r="E66" s="8"/>
      <c r="F66" s="27"/>
      <c r="G66" s="27"/>
      <c r="H66" s="27"/>
      <c r="I66" s="44"/>
      <c r="J66" s="8"/>
      <c r="K66" s="27"/>
      <c r="L66" s="27"/>
      <c r="M66" s="27"/>
      <c r="N66" s="27"/>
      <c r="O66" s="8"/>
      <c r="P66" s="27"/>
      <c r="Q66" s="27"/>
      <c r="R66" s="27"/>
      <c r="S66" s="36"/>
      <c r="T66" s="8"/>
      <c r="U66" s="27"/>
      <c r="V66" s="27"/>
      <c r="W66" s="27"/>
      <c r="X66" s="27"/>
      <c r="Y66" s="27"/>
      <c r="Z66" s="27"/>
      <c r="AA66" s="27"/>
      <c r="AB66" s="27"/>
      <c r="AC66" s="27"/>
      <c r="AD66" s="27"/>
      <c r="AE66" s="27"/>
      <c r="AF66" s="27"/>
      <c r="AG66" s="27"/>
      <c r="AH66" s="27"/>
      <c r="AI66" s="27"/>
      <c r="AJ66" s="27"/>
      <c r="AK66" s="27"/>
      <c r="AL66" s="27"/>
      <c r="AM66" s="27"/>
      <c r="AN66" s="27"/>
      <c r="AO66" s="7"/>
      <c r="AP66" s="7"/>
      <c r="AQ66" s="7"/>
      <c r="AR66" s="7"/>
      <c r="AS66" s="7"/>
      <c r="AT66" s="7"/>
      <c r="AU66" s="7"/>
      <c r="AV66" s="7"/>
      <c r="AW66" s="7"/>
      <c r="AX66" s="7"/>
      <c r="AY66" s="7"/>
      <c r="AZ66" s="45"/>
      <c r="BA66" s="22"/>
      <c r="BB66" s="22"/>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3"/>
    </row>
    <row r="67" spans="1:94" x14ac:dyDescent="0.25">
      <c r="B67" s="9"/>
      <c r="C67" s="186"/>
      <c r="D67" s="10"/>
      <c r="E67" s="8"/>
      <c r="F67" s="27"/>
      <c r="G67" s="27"/>
      <c r="H67" s="27"/>
      <c r="I67" s="44"/>
      <c r="J67" s="8"/>
      <c r="K67" s="27"/>
      <c r="L67" s="27"/>
      <c r="M67" s="27"/>
      <c r="N67" s="27"/>
      <c r="O67" s="8"/>
      <c r="P67" s="27"/>
      <c r="Q67" s="27"/>
      <c r="R67" s="27"/>
      <c r="S67" s="36"/>
      <c r="T67" s="8"/>
      <c r="U67" s="27"/>
      <c r="V67" s="27"/>
      <c r="W67" s="27"/>
      <c r="X67" s="27"/>
      <c r="Y67" s="27"/>
      <c r="Z67" s="27"/>
      <c r="AA67" s="27"/>
      <c r="AB67" s="27"/>
      <c r="AC67" s="27"/>
      <c r="AD67" s="27"/>
      <c r="AE67" s="27"/>
      <c r="AF67" s="27"/>
      <c r="AG67" s="27"/>
      <c r="AH67" s="27"/>
      <c r="AI67" s="27"/>
      <c r="AJ67" s="27"/>
      <c r="AK67" s="27"/>
      <c r="AL67" s="27"/>
      <c r="AM67" s="27"/>
      <c r="AN67" s="27"/>
      <c r="AO67" s="7"/>
      <c r="AP67" s="7"/>
      <c r="AQ67" s="7"/>
      <c r="AR67" s="7"/>
      <c r="AS67" s="7"/>
      <c r="AT67" s="7"/>
      <c r="AU67" s="7"/>
      <c r="AV67" s="7"/>
      <c r="AW67" s="7"/>
      <c r="AX67" s="7"/>
      <c r="AY67" s="7"/>
      <c r="AZ67" s="45"/>
      <c r="BA67" s="22"/>
      <c r="BB67" s="22"/>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3"/>
    </row>
    <row r="68" spans="1:94" x14ac:dyDescent="0.25">
      <c r="A68" s="27"/>
      <c r="B68" s="27"/>
      <c r="C68" s="185"/>
      <c r="D68" s="10"/>
      <c r="E68" s="8"/>
      <c r="F68" s="27"/>
      <c r="G68" s="27"/>
      <c r="H68" s="27"/>
      <c r="I68" s="44"/>
      <c r="J68" s="8"/>
      <c r="K68" s="27"/>
      <c r="L68" s="27"/>
      <c r="M68" s="27"/>
      <c r="N68" s="27"/>
      <c r="O68" s="8"/>
      <c r="P68" s="27"/>
      <c r="Q68" s="27"/>
      <c r="R68" s="27"/>
      <c r="S68" s="36"/>
      <c r="T68" s="8"/>
      <c r="U68" s="27"/>
      <c r="V68" s="27"/>
      <c r="W68" s="27"/>
      <c r="X68" s="27"/>
      <c r="Y68" s="27"/>
      <c r="Z68" s="27"/>
      <c r="AA68" s="27"/>
      <c r="AB68" s="27"/>
      <c r="AC68" s="27"/>
      <c r="AD68" s="27"/>
      <c r="AE68" s="27"/>
      <c r="AF68" s="27"/>
      <c r="AG68" s="27"/>
      <c r="AH68" s="27"/>
      <c r="AI68" s="27"/>
      <c r="AJ68" s="27"/>
      <c r="AK68" s="27"/>
      <c r="AL68" s="27"/>
      <c r="AM68" s="27"/>
      <c r="AN68" s="27"/>
      <c r="AO68" s="7"/>
      <c r="AP68" s="7"/>
      <c r="AQ68" s="7"/>
      <c r="AR68" s="7"/>
      <c r="AS68" s="7"/>
      <c r="AT68" s="7"/>
      <c r="AU68" s="7"/>
      <c r="AV68" s="7"/>
      <c r="AW68" s="7"/>
      <c r="AX68" s="7"/>
      <c r="AY68" s="7"/>
      <c r="AZ68" s="45"/>
      <c r="BA68" s="22"/>
      <c r="BB68" s="22"/>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3"/>
    </row>
    <row r="69" spans="1:94" x14ac:dyDescent="0.25">
      <c r="A69" s="27"/>
      <c r="B69" s="27"/>
      <c r="C69" s="198"/>
      <c r="E69" s="21">
        <v>21938291</v>
      </c>
      <c r="F69" s="27"/>
      <c r="G69" s="27"/>
      <c r="H69" s="27"/>
      <c r="I69" s="27"/>
      <c r="J69" s="21" t="e">
        <f>#REF!-C58</f>
        <v>#REF!</v>
      </c>
      <c r="K69" s="27"/>
      <c r="L69" s="27"/>
      <c r="M69" s="27"/>
      <c r="N69" s="27"/>
      <c r="O69" s="21" t="e">
        <f>#REF!-#REF!</f>
        <v>#REF!</v>
      </c>
      <c r="P69" s="27"/>
      <c r="Q69" s="27"/>
      <c r="R69" s="27"/>
      <c r="S69" s="36"/>
      <c r="T69" s="21" t="e">
        <f>#REF!-#REF!</f>
        <v>#REF!</v>
      </c>
      <c r="U69" s="27"/>
      <c r="V69" s="27"/>
      <c r="W69" s="27"/>
      <c r="X69" s="21" t="e">
        <f>#REF!-#REF!</f>
        <v>#REF!</v>
      </c>
      <c r="Y69" s="21"/>
      <c r="Z69" s="27"/>
      <c r="AA69" s="27"/>
      <c r="AB69" s="27"/>
      <c r="AC69" s="21" t="e">
        <f>#REF!-#REF!</f>
        <v>#REF!</v>
      </c>
      <c r="AD69" s="21"/>
      <c r="AE69" s="27"/>
      <c r="AF69" s="27"/>
      <c r="AG69" s="27"/>
      <c r="AH69" s="27"/>
      <c r="AI69" s="21">
        <v>0</v>
      </c>
      <c r="AJ69" s="21"/>
      <c r="AK69" s="27"/>
      <c r="AL69" s="27"/>
      <c r="AM69" s="27"/>
      <c r="AN69" s="27"/>
      <c r="AO69" s="7"/>
      <c r="AP69" s="7"/>
      <c r="AQ69" s="7"/>
      <c r="AR69" s="7"/>
      <c r="AS69" s="7"/>
      <c r="AT69" s="7"/>
      <c r="AU69" s="7"/>
      <c r="AV69" s="7"/>
      <c r="AW69" s="7"/>
      <c r="AX69" s="7"/>
      <c r="AY69" s="7"/>
      <c r="AZ69" s="45"/>
      <c r="BA69" s="22"/>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88"/>
      <c r="CF69" s="20"/>
      <c r="CG69" s="89"/>
      <c r="CH69" s="89"/>
      <c r="CJ69" s="89"/>
    </row>
    <row r="70" spans="1:94" x14ac:dyDescent="0.25">
      <c r="A70" s="27"/>
      <c r="B70" s="27"/>
      <c r="C70" s="198"/>
      <c r="E70" s="21"/>
      <c r="F70" s="27"/>
      <c r="G70" s="27"/>
      <c r="H70" s="27"/>
      <c r="I70" s="27"/>
      <c r="J70" s="21"/>
      <c r="K70" s="27"/>
      <c r="L70" s="27"/>
      <c r="M70" s="27"/>
      <c r="N70" s="27"/>
      <c r="O70" s="21"/>
      <c r="P70" s="27"/>
      <c r="Q70" s="27"/>
      <c r="R70" s="27"/>
      <c r="S70" s="36"/>
      <c r="T70" s="21"/>
      <c r="U70" s="27"/>
      <c r="V70" s="27"/>
      <c r="W70" s="27"/>
      <c r="X70" s="21"/>
      <c r="Y70" s="21"/>
      <c r="Z70" s="27"/>
      <c r="AA70" s="27"/>
      <c r="AB70" s="27"/>
      <c r="AC70" s="21"/>
      <c r="AD70" s="21"/>
      <c r="AE70" s="27"/>
      <c r="AF70" s="27"/>
      <c r="AG70" s="27"/>
      <c r="AH70" s="27"/>
      <c r="AI70" s="21"/>
      <c r="AJ70" s="21"/>
      <c r="AK70" s="27"/>
      <c r="AL70" s="27"/>
      <c r="AM70" s="27"/>
      <c r="AN70" s="27"/>
      <c r="AO70" s="7"/>
      <c r="AP70" s="7"/>
      <c r="AQ70" s="7"/>
      <c r="AR70" s="7"/>
      <c r="AS70" s="7"/>
      <c r="AT70" s="7"/>
      <c r="AU70" s="7"/>
      <c r="AV70" s="7"/>
      <c r="AW70" s="7"/>
      <c r="AX70" s="7"/>
      <c r="AY70" s="7"/>
      <c r="AZ70" s="45"/>
      <c r="BA70" s="22"/>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88"/>
      <c r="CF70" s="20"/>
      <c r="CG70" s="89"/>
      <c r="CH70" s="89"/>
      <c r="CJ70" s="89"/>
    </row>
    <row r="71" spans="1:94" s="27" customFormat="1" ht="29.1" customHeight="1" x14ac:dyDescent="0.25">
      <c r="S71" s="36"/>
      <c r="AO71" s="7"/>
      <c r="AP71" s="7"/>
      <c r="AQ71" s="7"/>
      <c r="AR71" s="7"/>
      <c r="AS71" s="7"/>
      <c r="AT71" s="7"/>
      <c r="AU71" s="7"/>
      <c r="AV71" s="7"/>
      <c r="AW71" s="7"/>
      <c r="AX71" s="7"/>
      <c r="AY71" s="7"/>
      <c r="AZ71" s="45"/>
      <c r="BA71" s="41"/>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41"/>
      <c r="CE71" s="149"/>
      <c r="CF71" s="149"/>
      <c r="CG71" s="162" t="s">
        <v>5</v>
      </c>
      <c r="CH71" s="161">
        <f>CH50</f>
        <v>0</v>
      </c>
      <c r="CJ71" s="149"/>
      <c r="CK71" s="36"/>
      <c r="CL71" s="36"/>
      <c r="CN71" s="36"/>
      <c r="CP71" s="36"/>
    </row>
    <row r="72" spans="1:94" s="27" customFormat="1" x14ac:dyDescent="0.25">
      <c r="A72" s="36"/>
      <c r="B72" s="33"/>
      <c r="C72" s="187"/>
      <c r="S72" s="36"/>
      <c r="AO72" s="7"/>
      <c r="AP72" s="7"/>
      <c r="AQ72" s="7"/>
      <c r="AR72" s="7"/>
      <c r="AS72" s="7"/>
      <c r="AT72" s="7"/>
      <c r="AU72" s="7"/>
      <c r="AV72" s="7"/>
      <c r="AW72" s="7"/>
      <c r="AX72" s="7"/>
      <c r="AY72" s="7"/>
      <c r="AZ72" s="45"/>
      <c r="BA72" s="36"/>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41"/>
      <c r="CE72" s="26"/>
      <c r="CF72" s="26"/>
      <c r="CG72" s="162" t="s">
        <v>22</v>
      </c>
      <c r="CH72" s="160" t="e">
        <f>#REF!</f>
        <v>#REF!</v>
      </c>
      <c r="CJ72" s="26"/>
      <c r="CK72" s="36"/>
      <c r="CL72" s="36"/>
      <c r="CN72" s="36"/>
      <c r="CP72" s="36"/>
    </row>
    <row r="73" spans="1:94" s="27" customFormat="1" x14ac:dyDescent="0.25">
      <c r="B73" s="33"/>
      <c r="C73" s="187"/>
      <c r="S73" s="36"/>
      <c r="AO73" s="7"/>
      <c r="AP73" s="7"/>
      <c r="AQ73" s="7"/>
      <c r="AR73" s="7"/>
      <c r="AS73" s="7"/>
      <c r="AT73" s="7"/>
      <c r="AU73" s="7"/>
      <c r="AV73" s="7"/>
      <c r="AW73" s="7"/>
      <c r="AX73" s="7"/>
      <c r="AY73" s="7"/>
      <c r="AZ73" s="45"/>
      <c r="BA73" s="36"/>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41"/>
      <c r="CE73" s="26"/>
      <c r="CF73" s="26"/>
      <c r="CG73" s="26" t="s">
        <v>23</v>
      </c>
      <c r="CH73" s="163" t="e">
        <f>CH71-CH72</f>
        <v>#REF!</v>
      </c>
      <c r="CJ73" s="26"/>
      <c r="CK73" s="36"/>
      <c r="CL73" s="36"/>
      <c r="CN73" s="36"/>
      <c r="CP73" s="36"/>
    </row>
    <row r="74" spans="1:94" s="27" customFormat="1" x14ac:dyDescent="0.25">
      <c r="B74" s="33"/>
      <c r="C74" s="187"/>
      <c r="S74" s="36"/>
      <c r="AO74" s="7"/>
      <c r="AP74" s="7"/>
      <c r="AQ74" s="7"/>
      <c r="AR74" s="7"/>
      <c r="AS74" s="7"/>
      <c r="AT74" s="7"/>
      <c r="AU74" s="7"/>
      <c r="AV74" s="7"/>
      <c r="AW74" s="7"/>
      <c r="AX74" s="7"/>
      <c r="AY74" s="7"/>
      <c r="AZ74" s="45"/>
      <c r="BA74" s="36"/>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41"/>
      <c r="CE74" s="26"/>
      <c r="CF74" s="26"/>
      <c r="CG74" s="26"/>
      <c r="CH74" s="26"/>
      <c r="CJ74" s="26"/>
      <c r="CK74" s="36"/>
      <c r="CL74" s="36"/>
      <c r="CN74" s="36"/>
      <c r="CP74" s="36"/>
    </row>
    <row r="75" spans="1:94" s="27" customFormat="1" x14ac:dyDescent="0.25">
      <c r="A75" s="41"/>
      <c r="B75" s="33"/>
      <c r="C75" s="187"/>
      <c r="S75" s="36"/>
      <c r="AO75" s="7"/>
      <c r="AP75" s="7"/>
      <c r="AQ75" s="7"/>
      <c r="AR75" s="7"/>
      <c r="AS75" s="7"/>
      <c r="AT75" s="7"/>
      <c r="AU75" s="7"/>
      <c r="AV75" s="7"/>
      <c r="AW75" s="7"/>
      <c r="AX75" s="7"/>
      <c r="AY75" s="7"/>
      <c r="AZ75" s="45"/>
      <c r="BA75" s="41"/>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41"/>
      <c r="CE75" s="26"/>
      <c r="CF75" s="26"/>
      <c r="CG75" s="26"/>
      <c r="CH75" s="26"/>
      <c r="CJ75" s="26"/>
      <c r="CK75" s="36"/>
      <c r="CL75" s="36"/>
      <c r="CN75" s="36"/>
      <c r="CP75" s="36"/>
    </row>
    <row r="76" spans="1:94" s="27" customFormat="1" x14ac:dyDescent="0.25">
      <c r="A76" s="175"/>
      <c r="B76" s="33"/>
      <c r="C76" s="187"/>
      <c r="S76" s="36"/>
      <c r="AO76" s="7"/>
      <c r="AP76" s="7"/>
      <c r="AQ76" s="7"/>
      <c r="AR76" s="7"/>
      <c r="AS76" s="7"/>
      <c r="AT76" s="7"/>
      <c r="AU76" s="7"/>
      <c r="AV76" s="7"/>
      <c r="AW76" s="7"/>
      <c r="AX76" s="7"/>
      <c r="AY76" s="7"/>
      <c r="AZ76" s="45"/>
      <c r="BA76" s="41"/>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41"/>
      <c r="CE76" s="26"/>
      <c r="CF76" s="26"/>
      <c r="CG76" s="26"/>
      <c r="CH76" s="26"/>
      <c r="CJ76" s="26"/>
      <c r="CK76" s="36"/>
      <c r="CL76" s="36"/>
      <c r="CN76" s="36"/>
      <c r="CP76" s="36"/>
    </row>
    <row r="77" spans="1:94" x14ac:dyDescent="0.25">
      <c r="AO77" s="7"/>
      <c r="AP77" s="7"/>
      <c r="AQ77" s="7"/>
      <c r="AR77" s="7"/>
      <c r="AS77" s="7"/>
      <c r="AT77" s="7"/>
      <c r="AU77" s="7"/>
      <c r="AV77" s="7"/>
      <c r="AW77" s="7"/>
      <c r="AX77" s="7"/>
      <c r="AY77" s="7"/>
      <c r="AZ77" s="45"/>
      <c r="BA77" s="22"/>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22"/>
    </row>
    <row r="78" spans="1:94" x14ac:dyDescent="0.25">
      <c r="A78" s="27"/>
      <c r="AO78" s="7"/>
      <c r="AP78" s="7"/>
      <c r="AQ78" s="7"/>
      <c r="AR78" s="7"/>
      <c r="AS78" s="7"/>
      <c r="AT78" s="7"/>
      <c r="AU78" s="7"/>
      <c r="AV78" s="7"/>
      <c r="AW78" s="7"/>
      <c r="AX78" s="7"/>
      <c r="AY78" s="7"/>
      <c r="AZ78" s="45"/>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22"/>
    </row>
    <row r="79" spans="1:94" x14ac:dyDescent="0.25">
      <c r="A79" s="27"/>
      <c r="AO79" s="7"/>
      <c r="AP79" s="7"/>
      <c r="AQ79" s="7"/>
      <c r="AR79" s="7"/>
      <c r="AS79" s="7"/>
      <c r="AT79" s="7"/>
      <c r="AU79" s="7"/>
      <c r="AV79" s="7"/>
      <c r="AW79" s="7"/>
      <c r="AX79" s="7"/>
      <c r="AY79" s="7"/>
      <c r="AZ79" s="45"/>
      <c r="BA79" s="22"/>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22"/>
    </row>
    <row r="80" spans="1:94" x14ac:dyDescent="0.25">
      <c r="A80" s="27"/>
      <c r="AO80" s="7"/>
      <c r="AP80" s="7"/>
      <c r="AQ80" s="7"/>
      <c r="AR80" s="7"/>
      <c r="AS80" s="7"/>
      <c r="AT80" s="7"/>
      <c r="AU80" s="7"/>
      <c r="AV80" s="7"/>
      <c r="AW80" s="7"/>
      <c r="AX80" s="7"/>
      <c r="AY80" s="7"/>
      <c r="AZ80" s="45"/>
      <c r="BA80" s="22"/>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22"/>
    </row>
    <row r="81" spans="1:94" x14ac:dyDescent="0.25">
      <c r="A81" s="27"/>
      <c r="AO81" s="7"/>
      <c r="AP81" s="7"/>
      <c r="AQ81" s="7"/>
      <c r="AR81" s="7"/>
      <c r="AS81" s="7"/>
      <c r="AT81" s="7"/>
      <c r="AU81" s="7"/>
      <c r="AV81" s="7"/>
      <c r="AW81" s="7"/>
      <c r="AX81" s="7"/>
      <c r="AY81" s="7"/>
      <c r="AZ81" s="45"/>
      <c r="BA81" s="22"/>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22"/>
    </row>
    <row r="82" spans="1:94" x14ac:dyDescent="0.25">
      <c r="A82" s="27"/>
      <c r="AO82" s="7"/>
      <c r="AP82" s="7"/>
      <c r="AQ82" s="7"/>
      <c r="AR82" s="7"/>
      <c r="AS82" s="7"/>
      <c r="AT82" s="7"/>
      <c r="AU82" s="7"/>
      <c r="AV82" s="7"/>
      <c r="AW82" s="7"/>
      <c r="AX82" s="7"/>
      <c r="AY82" s="7"/>
      <c r="AZ82" s="45"/>
      <c r="BA82" s="22"/>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22"/>
    </row>
    <row r="83" spans="1:94" s="1" customFormat="1" x14ac:dyDescent="0.25">
      <c r="A83" s="27"/>
      <c r="B83" s="8"/>
      <c r="C83" s="187"/>
      <c r="D83" s="9"/>
      <c r="E83" s="9"/>
      <c r="F83" s="9"/>
      <c r="G83" s="9"/>
      <c r="H83" s="9"/>
      <c r="I83" s="9"/>
      <c r="J83" s="9"/>
      <c r="K83" s="9"/>
      <c r="L83" s="9"/>
      <c r="M83" s="9"/>
      <c r="N83" s="9"/>
      <c r="O83" s="9"/>
      <c r="P83" s="9"/>
      <c r="Q83" s="9"/>
      <c r="R83" s="9"/>
      <c r="S83" s="11"/>
      <c r="T83" s="9"/>
      <c r="U83" s="9"/>
      <c r="V83" s="9"/>
      <c r="W83" s="9"/>
      <c r="X83" s="9"/>
      <c r="Y83" s="9"/>
      <c r="Z83" s="9"/>
      <c r="AA83" s="9"/>
      <c r="AB83" s="9"/>
      <c r="AC83" s="9"/>
      <c r="AD83" s="9"/>
      <c r="AE83" s="9"/>
      <c r="AF83" s="9"/>
      <c r="AG83" s="9"/>
      <c r="AH83" s="9"/>
      <c r="AI83" s="9"/>
      <c r="AJ83" s="9"/>
      <c r="AK83" s="9"/>
      <c r="AL83" s="9"/>
      <c r="AM83" s="9"/>
      <c r="AN83" s="9"/>
      <c r="AO83" s="7"/>
      <c r="AP83" s="7"/>
      <c r="AQ83" s="7"/>
      <c r="AR83" s="7"/>
      <c r="AS83" s="7"/>
      <c r="AT83" s="7"/>
      <c r="AU83" s="7"/>
      <c r="AV83" s="7"/>
      <c r="AW83" s="7"/>
      <c r="AX83" s="7"/>
      <c r="AY83" s="7"/>
      <c r="AZ83" s="45"/>
      <c r="BA83" s="22"/>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22"/>
      <c r="CI83" s="9"/>
      <c r="CK83" s="136"/>
      <c r="CL83" s="136"/>
      <c r="CN83" s="136"/>
      <c r="CP83" s="136"/>
    </row>
    <row r="84" spans="1:94" s="1" customFormat="1" x14ac:dyDescent="0.25">
      <c r="A84" s="27"/>
      <c r="B84" s="8"/>
      <c r="C84" s="187"/>
      <c r="D84" s="9"/>
      <c r="E84" s="9"/>
      <c r="F84" s="9"/>
      <c r="G84" s="9"/>
      <c r="H84" s="9"/>
      <c r="I84" s="9"/>
      <c r="J84" s="9"/>
      <c r="K84" s="9"/>
      <c r="L84" s="9"/>
      <c r="M84" s="9"/>
      <c r="N84" s="9"/>
      <c r="O84" s="9"/>
      <c r="P84" s="9"/>
      <c r="Q84" s="9"/>
      <c r="R84" s="9"/>
      <c r="S84" s="11"/>
      <c r="T84" s="9"/>
      <c r="U84" s="9"/>
      <c r="V84" s="9"/>
      <c r="W84" s="9"/>
      <c r="X84" s="9"/>
      <c r="Y84" s="9"/>
      <c r="Z84" s="9"/>
      <c r="AA84" s="9"/>
      <c r="AB84" s="9"/>
      <c r="AC84" s="9"/>
      <c r="AD84" s="9"/>
      <c r="AE84" s="9"/>
      <c r="AF84" s="9"/>
      <c r="AG84" s="9"/>
      <c r="AH84" s="9"/>
      <c r="AI84" s="9"/>
      <c r="AJ84" s="9"/>
      <c r="AK84" s="9"/>
      <c r="AL84" s="9"/>
      <c r="AM84" s="9"/>
      <c r="AN84" s="9"/>
      <c r="AO84" s="7"/>
      <c r="AP84" s="7"/>
      <c r="AQ84" s="7"/>
      <c r="AR84" s="7"/>
      <c r="AS84" s="7"/>
      <c r="AT84" s="7"/>
      <c r="AU84" s="7"/>
      <c r="AV84" s="7"/>
      <c r="AW84" s="7"/>
      <c r="AX84" s="7"/>
      <c r="AY84" s="7"/>
      <c r="AZ84" s="45"/>
      <c r="BA84" s="22"/>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22"/>
      <c r="CI84" s="9"/>
      <c r="CK84" s="136"/>
      <c r="CL84" s="136"/>
      <c r="CN84" s="136"/>
      <c r="CP84" s="136"/>
    </row>
    <row r="85" spans="1:94" s="1" customFormat="1" x14ac:dyDescent="0.25">
      <c r="A85" s="27"/>
      <c r="B85" s="8"/>
      <c r="C85" s="187"/>
      <c r="D85" s="9"/>
      <c r="E85" s="9"/>
      <c r="F85" s="9"/>
      <c r="G85" s="9"/>
      <c r="H85" s="9"/>
      <c r="I85" s="9"/>
      <c r="J85" s="9"/>
      <c r="K85" s="9"/>
      <c r="L85" s="9"/>
      <c r="M85" s="9"/>
      <c r="N85" s="9"/>
      <c r="O85" s="9"/>
      <c r="P85" s="9"/>
      <c r="Q85" s="9"/>
      <c r="R85" s="9"/>
      <c r="S85" s="11"/>
      <c r="T85" s="9"/>
      <c r="U85" s="9"/>
      <c r="V85" s="9"/>
      <c r="W85" s="9"/>
      <c r="X85" s="9"/>
      <c r="Y85" s="9"/>
      <c r="Z85" s="9"/>
      <c r="AA85" s="9"/>
      <c r="AB85" s="9"/>
      <c r="AC85" s="9"/>
      <c r="AD85" s="9"/>
      <c r="AE85" s="9"/>
      <c r="AF85" s="9"/>
      <c r="AG85" s="9"/>
      <c r="AH85" s="9"/>
      <c r="AI85" s="9"/>
      <c r="AJ85" s="9"/>
      <c r="AK85" s="9"/>
      <c r="AL85" s="9"/>
      <c r="AM85" s="9"/>
      <c r="AN85" s="9"/>
      <c r="AO85" s="7"/>
      <c r="AP85" s="7"/>
      <c r="AQ85" s="7"/>
      <c r="AR85" s="7"/>
      <c r="AS85" s="7"/>
      <c r="AT85" s="7"/>
      <c r="AU85" s="7"/>
      <c r="AV85" s="7"/>
      <c r="AW85" s="7"/>
      <c r="AX85" s="7"/>
      <c r="AY85" s="7"/>
      <c r="AZ85" s="45"/>
      <c r="BA85" s="22"/>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22"/>
      <c r="CI85" s="9"/>
      <c r="CK85" s="136"/>
      <c r="CL85" s="136"/>
      <c r="CN85" s="136"/>
      <c r="CP85" s="136"/>
    </row>
    <row r="86" spans="1:94" s="1" customFormat="1" x14ac:dyDescent="0.25">
      <c r="B86" s="8"/>
      <c r="C86" s="187"/>
      <c r="D86" s="9"/>
      <c r="E86" s="9"/>
      <c r="F86" s="9"/>
      <c r="G86" s="9"/>
      <c r="H86" s="9"/>
      <c r="I86" s="9"/>
      <c r="J86" s="9"/>
      <c r="K86" s="9"/>
      <c r="L86" s="9"/>
      <c r="M86" s="9"/>
      <c r="N86" s="9"/>
      <c r="O86" s="9"/>
      <c r="P86" s="9"/>
      <c r="Q86" s="9"/>
      <c r="R86" s="9"/>
      <c r="S86" s="11"/>
      <c r="T86" s="9"/>
      <c r="U86" s="9"/>
      <c r="V86" s="9"/>
      <c r="W86" s="9"/>
      <c r="X86" s="9"/>
      <c r="Y86" s="9"/>
      <c r="Z86" s="9"/>
      <c r="AA86" s="9"/>
      <c r="AB86" s="9"/>
      <c r="AC86" s="9"/>
      <c r="AD86" s="9"/>
      <c r="AE86" s="9"/>
      <c r="AF86" s="9"/>
      <c r="AG86" s="9"/>
      <c r="AH86" s="9"/>
      <c r="AI86" s="9"/>
      <c r="AJ86" s="9"/>
      <c r="AK86" s="9"/>
      <c r="AL86" s="9"/>
      <c r="AM86" s="9"/>
      <c r="AN86" s="9"/>
      <c r="AO86" s="7"/>
      <c r="AP86" s="7"/>
      <c r="AQ86" s="7"/>
      <c r="AR86" s="7"/>
      <c r="AS86" s="7"/>
      <c r="AT86" s="7"/>
      <c r="AU86" s="7"/>
      <c r="AV86" s="7"/>
      <c r="AW86" s="7"/>
      <c r="AX86" s="7"/>
      <c r="AY86" s="7"/>
      <c r="AZ86" s="45"/>
      <c r="BA86" s="22"/>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22"/>
      <c r="CI86" s="9"/>
      <c r="CK86" s="136"/>
      <c r="CL86" s="136"/>
      <c r="CN86" s="136"/>
      <c r="CP86" s="136"/>
    </row>
    <row r="87" spans="1:94" s="1" customFormat="1" x14ac:dyDescent="0.25">
      <c r="B87" s="8"/>
      <c r="C87" s="187"/>
      <c r="D87" s="9"/>
      <c r="E87" s="9"/>
      <c r="F87" s="9"/>
      <c r="G87" s="9"/>
      <c r="H87" s="9"/>
      <c r="I87" s="9"/>
      <c r="J87" s="9"/>
      <c r="K87" s="9"/>
      <c r="L87" s="9"/>
      <c r="M87" s="9"/>
      <c r="N87" s="9"/>
      <c r="O87" s="9"/>
      <c r="P87" s="9"/>
      <c r="Q87" s="9"/>
      <c r="R87" s="9"/>
      <c r="S87" s="11"/>
      <c r="T87" s="9"/>
      <c r="U87" s="9"/>
      <c r="V87" s="9"/>
      <c r="W87" s="9"/>
      <c r="X87" s="9"/>
      <c r="Y87" s="9"/>
      <c r="Z87" s="9"/>
      <c r="AA87" s="9"/>
      <c r="AB87" s="9"/>
      <c r="AC87" s="9"/>
      <c r="AD87" s="9"/>
      <c r="AE87" s="9"/>
      <c r="AF87" s="9"/>
      <c r="AG87" s="9"/>
      <c r="AH87" s="9"/>
      <c r="AI87" s="9"/>
      <c r="AJ87" s="9"/>
      <c r="AK87" s="9"/>
      <c r="AL87" s="9"/>
      <c r="AM87" s="9"/>
      <c r="AN87" s="9"/>
      <c r="AO87" s="7"/>
      <c r="AP87" s="7"/>
      <c r="AQ87" s="7"/>
      <c r="AR87" s="7"/>
      <c r="AS87" s="7"/>
      <c r="AT87" s="7"/>
      <c r="AU87" s="7"/>
      <c r="AV87" s="7"/>
      <c r="AW87" s="7"/>
      <c r="AX87" s="7"/>
      <c r="AY87" s="7"/>
      <c r="AZ87" s="45"/>
      <c r="BA87" s="22"/>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22"/>
      <c r="CI87" s="9"/>
      <c r="CK87" s="136"/>
      <c r="CL87" s="136"/>
      <c r="CN87" s="136"/>
      <c r="CP87" s="136"/>
    </row>
    <row r="88" spans="1:94" s="1" customFormat="1" x14ac:dyDescent="0.25">
      <c r="B88" s="8"/>
      <c r="C88" s="187"/>
      <c r="D88" s="9"/>
      <c r="E88" s="9"/>
      <c r="F88" s="9"/>
      <c r="G88" s="9"/>
      <c r="H88" s="9"/>
      <c r="I88" s="9"/>
      <c r="J88" s="9"/>
      <c r="K88" s="9"/>
      <c r="L88" s="9"/>
      <c r="M88" s="9"/>
      <c r="N88" s="9"/>
      <c r="O88" s="9"/>
      <c r="P88" s="9"/>
      <c r="Q88" s="9"/>
      <c r="R88" s="9"/>
      <c r="S88" s="11"/>
      <c r="T88" s="9"/>
      <c r="U88" s="9"/>
      <c r="V88" s="9"/>
      <c r="W88" s="9"/>
      <c r="X88" s="9"/>
      <c r="Y88" s="9"/>
      <c r="Z88" s="9"/>
      <c r="AA88" s="9"/>
      <c r="AB88" s="9"/>
      <c r="AC88" s="9"/>
      <c r="AD88" s="9"/>
      <c r="AE88" s="9"/>
      <c r="AF88" s="9"/>
      <c r="AG88" s="9"/>
      <c r="AH88" s="9"/>
      <c r="AI88" s="9"/>
      <c r="AJ88" s="9"/>
      <c r="AK88" s="9"/>
      <c r="AL88" s="9"/>
      <c r="AM88" s="9"/>
      <c r="AN88" s="9"/>
      <c r="AO88" s="7"/>
      <c r="AP88" s="7"/>
      <c r="AQ88" s="7"/>
      <c r="AR88" s="7"/>
      <c r="AS88" s="7"/>
      <c r="AT88" s="7"/>
      <c r="AU88" s="7"/>
      <c r="AV88" s="7"/>
      <c r="AW88" s="7"/>
      <c r="AX88" s="7"/>
      <c r="AY88" s="7"/>
      <c r="AZ88" s="45"/>
      <c r="BA88" s="22"/>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22"/>
      <c r="CI88" s="9"/>
      <c r="CK88" s="136"/>
      <c r="CL88" s="136"/>
      <c r="CN88" s="136"/>
      <c r="CP88" s="136"/>
    </row>
    <row r="89" spans="1:94" s="1" customFormat="1" x14ac:dyDescent="0.25">
      <c r="B89" s="8"/>
      <c r="C89" s="187"/>
      <c r="D89" s="9"/>
      <c r="E89" s="9"/>
      <c r="F89" s="9"/>
      <c r="G89" s="9"/>
      <c r="H89" s="9"/>
      <c r="I89" s="9"/>
      <c r="J89" s="9"/>
      <c r="K89" s="9"/>
      <c r="L89" s="9"/>
      <c r="M89" s="9"/>
      <c r="N89" s="9"/>
      <c r="O89" s="9"/>
      <c r="P89" s="9"/>
      <c r="Q89" s="9"/>
      <c r="R89" s="9"/>
      <c r="S89" s="11"/>
      <c r="T89" s="9"/>
      <c r="U89" s="9"/>
      <c r="V89" s="9"/>
      <c r="W89" s="9"/>
      <c r="X89" s="9"/>
      <c r="Y89" s="9"/>
      <c r="Z89" s="9"/>
      <c r="AA89" s="9"/>
      <c r="AB89" s="9"/>
      <c r="AC89" s="9"/>
      <c r="AD89" s="9"/>
      <c r="AE89" s="9"/>
      <c r="AF89" s="9"/>
      <c r="AG89" s="9"/>
      <c r="AH89" s="9"/>
      <c r="AI89" s="9"/>
      <c r="AJ89" s="9"/>
      <c r="AK89" s="9"/>
      <c r="AL89" s="9"/>
      <c r="AM89" s="9"/>
      <c r="AN89" s="9"/>
      <c r="AO89" s="7"/>
      <c r="AP89" s="7"/>
      <c r="AQ89" s="7"/>
      <c r="AR89" s="7"/>
      <c r="AS89" s="7"/>
      <c r="AT89" s="7"/>
      <c r="AU89" s="7"/>
      <c r="AV89" s="7"/>
      <c r="AW89" s="7"/>
      <c r="AX89" s="7"/>
      <c r="AY89" s="7"/>
      <c r="AZ89" s="45"/>
      <c r="BA89" s="22"/>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22"/>
      <c r="CI89" s="9"/>
      <c r="CK89" s="136"/>
      <c r="CL89" s="136"/>
      <c r="CN89" s="136"/>
      <c r="CP89" s="136"/>
    </row>
    <row r="90" spans="1:94" s="1" customFormat="1" x14ac:dyDescent="0.25">
      <c r="B90" s="8"/>
      <c r="C90" s="187"/>
      <c r="D90" s="9"/>
      <c r="E90" s="9"/>
      <c r="F90" s="9"/>
      <c r="G90" s="9"/>
      <c r="H90" s="9"/>
      <c r="I90" s="9"/>
      <c r="J90" s="9"/>
      <c r="K90" s="9"/>
      <c r="L90" s="9"/>
      <c r="M90" s="9"/>
      <c r="N90" s="9"/>
      <c r="O90" s="9"/>
      <c r="P90" s="9"/>
      <c r="Q90" s="9"/>
      <c r="R90" s="9"/>
      <c r="S90" s="11"/>
      <c r="T90" s="9"/>
      <c r="U90" s="9"/>
      <c r="V90" s="9"/>
      <c r="W90" s="9"/>
      <c r="X90" s="9"/>
      <c r="Y90" s="9"/>
      <c r="Z90" s="9"/>
      <c r="AA90" s="9"/>
      <c r="AB90" s="9"/>
      <c r="AC90" s="9"/>
      <c r="AD90" s="9"/>
      <c r="AE90" s="9"/>
      <c r="AF90" s="9"/>
      <c r="AG90" s="9"/>
      <c r="AH90" s="9"/>
      <c r="AI90" s="9"/>
      <c r="AJ90" s="9"/>
      <c r="AK90" s="9"/>
      <c r="AL90" s="9"/>
      <c r="AM90" s="9"/>
      <c r="AN90" s="9"/>
      <c r="AO90" s="7"/>
      <c r="AP90" s="7"/>
      <c r="AQ90" s="7"/>
      <c r="AR90" s="7"/>
      <c r="AS90" s="7"/>
      <c r="AT90" s="7"/>
      <c r="AU90" s="7"/>
      <c r="AV90" s="7"/>
      <c r="AW90" s="7"/>
      <c r="AX90" s="7"/>
      <c r="AY90" s="7"/>
      <c r="AZ90" s="45"/>
      <c r="BA90" s="22"/>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22"/>
      <c r="CI90" s="9"/>
      <c r="CK90" s="136"/>
      <c r="CL90" s="136"/>
      <c r="CN90" s="136"/>
      <c r="CP90" s="136"/>
    </row>
    <row r="91" spans="1:94" s="1" customFormat="1" x14ac:dyDescent="0.25">
      <c r="B91" s="8"/>
      <c r="C91" s="187"/>
      <c r="D91" s="9"/>
      <c r="E91" s="9"/>
      <c r="F91" s="9"/>
      <c r="G91" s="9"/>
      <c r="H91" s="9"/>
      <c r="I91" s="9"/>
      <c r="J91" s="9"/>
      <c r="K91" s="9"/>
      <c r="L91" s="9"/>
      <c r="M91" s="9"/>
      <c r="N91" s="9"/>
      <c r="O91" s="9"/>
      <c r="P91" s="9"/>
      <c r="Q91" s="9"/>
      <c r="R91" s="9"/>
      <c r="S91" s="11"/>
      <c r="T91" s="9"/>
      <c r="U91" s="9"/>
      <c r="V91" s="9"/>
      <c r="W91" s="9"/>
      <c r="X91" s="9"/>
      <c r="Y91" s="9"/>
      <c r="Z91" s="9"/>
      <c r="AA91" s="9"/>
      <c r="AB91" s="9"/>
      <c r="AC91" s="9"/>
      <c r="AD91" s="9"/>
      <c r="AE91" s="9"/>
      <c r="AF91" s="9"/>
      <c r="AG91" s="9"/>
      <c r="AH91" s="9"/>
      <c r="AI91" s="9"/>
      <c r="AJ91" s="9"/>
      <c r="AK91" s="9"/>
      <c r="AL91" s="9"/>
      <c r="AM91" s="9"/>
      <c r="AN91" s="9"/>
      <c r="AO91" s="7"/>
      <c r="AP91" s="7"/>
      <c r="AQ91" s="7"/>
      <c r="AR91" s="7"/>
      <c r="AS91" s="7"/>
      <c r="AT91" s="7"/>
      <c r="AU91" s="7"/>
      <c r="AV91" s="7"/>
      <c r="AW91" s="7"/>
      <c r="AX91" s="7"/>
      <c r="AY91" s="7"/>
      <c r="AZ91" s="45"/>
      <c r="BA91" s="22"/>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22"/>
      <c r="CI91" s="9"/>
      <c r="CK91" s="136"/>
      <c r="CL91" s="136"/>
      <c r="CN91" s="136"/>
      <c r="CP91" s="136"/>
    </row>
    <row r="92" spans="1:94" s="1" customFormat="1" x14ac:dyDescent="0.25">
      <c r="B92" s="8"/>
      <c r="C92" s="187"/>
      <c r="D92" s="9"/>
      <c r="E92" s="9"/>
      <c r="F92" s="9"/>
      <c r="G92" s="9"/>
      <c r="H92" s="9"/>
      <c r="I92" s="9"/>
      <c r="J92" s="9"/>
      <c r="K92" s="9"/>
      <c r="L92" s="9"/>
      <c r="M92" s="9"/>
      <c r="N92" s="9"/>
      <c r="O92" s="9"/>
      <c r="P92" s="9"/>
      <c r="Q92" s="9"/>
      <c r="R92" s="9"/>
      <c r="S92" s="11"/>
      <c r="T92" s="9"/>
      <c r="U92" s="9"/>
      <c r="V92" s="9"/>
      <c r="W92" s="9"/>
      <c r="X92" s="9"/>
      <c r="Y92" s="9"/>
      <c r="Z92" s="9"/>
      <c r="AA92" s="9"/>
      <c r="AB92" s="9"/>
      <c r="AC92" s="9"/>
      <c r="AD92" s="9"/>
      <c r="AE92" s="9"/>
      <c r="AF92" s="9"/>
      <c r="AG92" s="9"/>
      <c r="AH92" s="9"/>
      <c r="AI92" s="9"/>
      <c r="AJ92" s="9"/>
      <c r="AK92" s="9"/>
      <c r="AL92" s="9"/>
      <c r="AM92" s="9"/>
      <c r="AN92" s="9"/>
      <c r="AO92" s="7"/>
      <c r="AP92" s="7"/>
      <c r="AQ92" s="7"/>
      <c r="AR92" s="7"/>
      <c r="AS92" s="7"/>
      <c r="AT92" s="7"/>
      <c r="AU92" s="7"/>
      <c r="AV92" s="7"/>
      <c r="AW92" s="7"/>
      <c r="AX92" s="7"/>
      <c r="AY92" s="7"/>
      <c r="AZ92" s="45"/>
      <c r="BA92" s="22"/>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22"/>
      <c r="CI92" s="9"/>
      <c r="CK92" s="136"/>
      <c r="CL92" s="136"/>
      <c r="CN92" s="136"/>
      <c r="CP92" s="136"/>
    </row>
    <row r="93" spans="1:94" s="1" customFormat="1" x14ac:dyDescent="0.25">
      <c r="B93" s="8"/>
      <c r="C93" s="187"/>
      <c r="D93" s="9"/>
      <c r="E93" s="9"/>
      <c r="F93" s="9"/>
      <c r="G93" s="9"/>
      <c r="H93" s="9"/>
      <c r="I93" s="9"/>
      <c r="J93" s="9"/>
      <c r="K93" s="9"/>
      <c r="L93" s="9"/>
      <c r="M93" s="9"/>
      <c r="N93" s="9"/>
      <c r="O93" s="9"/>
      <c r="P93" s="9"/>
      <c r="Q93" s="9"/>
      <c r="R93" s="9"/>
      <c r="S93" s="11"/>
      <c r="T93" s="9"/>
      <c r="U93" s="9"/>
      <c r="V93" s="9"/>
      <c r="W93" s="9"/>
      <c r="X93" s="9"/>
      <c r="Y93" s="9"/>
      <c r="Z93" s="9"/>
      <c r="AA93" s="9"/>
      <c r="AB93" s="9"/>
      <c r="AC93" s="9"/>
      <c r="AD93" s="9"/>
      <c r="AE93" s="9"/>
      <c r="AF93" s="9"/>
      <c r="AG93" s="9"/>
      <c r="AH93" s="9"/>
      <c r="AI93" s="9"/>
      <c r="AJ93" s="9"/>
      <c r="AK93" s="9"/>
      <c r="AL93" s="9"/>
      <c r="AM93" s="9"/>
      <c r="AN93" s="9"/>
      <c r="AO93" s="7"/>
      <c r="AP93" s="7"/>
      <c r="AQ93" s="7"/>
      <c r="AR93" s="7"/>
      <c r="AS93" s="7"/>
      <c r="AT93" s="7"/>
      <c r="AU93" s="7"/>
      <c r="AV93" s="7"/>
      <c r="AW93" s="7"/>
      <c r="AX93" s="7"/>
      <c r="AY93" s="7"/>
      <c r="AZ93" s="45"/>
      <c r="BA93" s="22"/>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22"/>
      <c r="CI93" s="9"/>
      <c r="CK93" s="136"/>
      <c r="CL93" s="136"/>
      <c r="CN93" s="136"/>
      <c r="CP93" s="136"/>
    </row>
    <row r="94" spans="1:94" s="1" customFormat="1" x14ac:dyDescent="0.25">
      <c r="B94" s="8"/>
      <c r="C94" s="187"/>
      <c r="D94" s="9"/>
      <c r="E94" s="9"/>
      <c r="F94" s="9"/>
      <c r="G94" s="9"/>
      <c r="H94" s="9"/>
      <c r="I94" s="9"/>
      <c r="J94" s="9"/>
      <c r="K94" s="9"/>
      <c r="L94" s="9"/>
      <c r="M94" s="9"/>
      <c r="N94" s="9"/>
      <c r="O94" s="9"/>
      <c r="P94" s="9"/>
      <c r="Q94" s="9"/>
      <c r="R94" s="9"/>
      <c r="S94" s="11"/>
      <c r="T94" s="9"/>
      <c r="U94" s="9"/>
      <c r="V94" s="9"/>
      <c r="W94" s="9"/>
      <c r="X94" s="9"/>
      <c r="Y94" s="9"/>
      <c r="Z94" s="9"/>
      <c r="AA94" s="9"/>
      <c r="AB94" s="9"/>
      <c r="AC94" s="9"/>
      <c r="AD94" s="9"/>
      <c r="AE94" s="9"/>
      <c r="AF94" s="9"/>
      <c r="AG94" s="9"/>
      <c r="AH94" s="9"/>
      <c r="AI94" s="9"/>
      <c r="AJ94" s="9"/>
      <c r="AK94" s="9"/>
      <c r="AL94" s="9"/>
      <c r="AM94" s="9"/>
      <c r="AN94" s="9"/>
      <c r="AO94" s="7"/>
      <c r="AP94" s="7"/>
      <c r="AQ94" s="7"/>
      <c r="AR94" s="7"/>
      <c r="AS94" s="7"/>
      <c r="AT94" s="7"/>
      <c r="AU94" s="7"/>
      <c r="AV94" s="7"/>
      <c r="AW94" s="7"/>
      <c r="AX94" s="7"/>
      <c r="AY94" s="7"/>
      <c r="AZ94" s="45"/>
      <c r="BA94" s="22"/>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22"/>
      <c r="CI94" s="9"/>
      <c r="CK94" s="136"/>
      <c r="CL94" s="136"/>
      <c r="CN94" s="136"/>
      <c r="CP94" s="136"/>
    </row>
    <row r="95" spans="1:94" s="1" customFormat="1" x14ac:dyDescent="0.25">
      <c r="B95" s="8"/>
      <c r="C95" s="187"/>
      <c r="D95" s="9"/>
      <c r="E95" s="9"/>
      <c r="F95" s="9"/>
      <c r="G95" s="9"/>
      <c r="H95" s="9"/>
      <c r="I95" s="9"/>
      <c r="J95" s="9"/>
      <c r="K95" s="9"/>
      <c r="L95" s="9"/>
      <c r="M95" s="9"/>
      <c r="N95" s="9"/>
      <c r="O95" s="9"/>
      <c r="P95" s="9"/>
      <c r="Q95" s="9"/>
      <c r="R95" s="9"/>
      <c r="S95" s="11"/>
      <c r="T95" s="9"/>
      <c r="U95" s="9"/>
      <c r="V95" s="9"/>
      <c r="W95" s="9"/>
      <c r="X95" s="9"/>
      <c r="Y95" s="9"/>
      <c r="Z95" s="9"/>
      <c r="AA95" s="9"/>
      <c r="AB95" s="9"/>
      <c r="AC95" s="9"/>
      <c r="AD95" s="9"/>
      <c r="AE95" s="9"/>
      <c r="AF95" s="9"/>
      <c r="AG95" s="9"/>
      <c r="AH95" s="9"/>
      <c r="AI95" s="9"/>
      <c r="AJ95" s="9"/>
      <c r="AK95" s="9"/>
      <c r="AL95" s="9"/>
      <c r="AM95" s="9"/>
      <c r="AN95" s="9"/>
      <c r="AO95" s="7"/>
      <c r="AP95" s="7"/>
      <c r="AQ95" s="7"/>
      <c r="AR95" s="7"/>
      <c r="AS95" s="7"/>
      <c r="AT95" s="7"/>
      <c r="AU95" s="7"/>
      <c r="AV95" s="7"/>
      <c r="AW95" s="7"/>
      <c r="AX95" s="7"/>
      <c r="AY95" s="7"/>
      <c r="AZ95" s="45"/>
      <c r="BA95" s="22"/>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22"/>
      <c r="CI95" s="9"/>
      <c r="CK95" s="136"/>
      <c r="CL95" s="136"/>
      <c r="CN95" s="136"/>
      <c r="CP95" s="136"/>
    </row>
    <row r="96" spans="1:94" s="1" customFormat="1" x14ac:dyDescent="0.25">
      <c r="B96" s="8"/>
      <c r="C96" s="187"/>
      <c r="D96" s="9"/>
      <c r="E96" s="9"/>
      <c r="F96" s="9"/>
      <c r="G96" s="9"/>
      <c r="H96" s="9"/>
      <c r="I96" s="9"/>
      <c r="J96" s="9"/>
      <c r="K96" s="9"/>
      <c r="L96" s="9"/>
      <c r="M96" s="9"/>
      <c r="N96" s="9"/>
      <c r="O96" s="9"/>
      <c r="P96" s="9"/>
      <c r="Q96" s="9"/>
      <c r="R96" s="9"/>
      <c r="S96" s="11"/>
      <c r="T96" s="9"/>
      <c r="U96" s="9"/>
      <c r="V96" s="9"/>
      <c r="W96" s="9"/>
      <c r="X96" s="9"/>
      <c r="Y96" s="9"/>
      <c r="Z96" s="9"/>
      <c r="AA96" s="9"/>
      <c r="AB96" s="9"/>
      <c r="AC96" s="9"/>
      <c r="AD96" s="9"/>
      <c r="AE96" s="9"/>
      <c r="AF96" s="9"/>
      <c r="AG96" s="9"/>
      <c r="AH96" s="9"/>
      <c r="AI96" s="9"/>
      <c r="AJ96" s="9"/>
      <c r="AK96" s="9"/>
      <c r="AL96" s="9"/>
      <c r="AM96" s="9"/>
      <c r="AN96" s="9"/>
      <c r="AO96" s="7"/>
      <c r="AP96" s="7"/>
      <c r="AQ96" s="7"/>
      <c r="AR96" s="7"/>
      <c r="AS96" s="7"/>
      <c r="AT96" s="7"/>
      <c r="AU96" s="7"/>
      <c r="AV96" s="7"/>
      <c r="AW96" s="7"/>
      <c r="AX96" s="7"/>
      <c r="AY96" s="7"/>
      <c r="AZ96" s="45"/>
      <c r="BA96" s="22"/>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22"/>
      <c r="CI96" s="9"/>
      <c r="CK96" s="136"/>
      <c r="CL96" s="136"/>
      <c r="CN96" s="136"/>
      <c r="CP96" s="136"/>
    </row>
    <row r="97" spans="2:94" s="1" customFormat="1" x14ac:dyDescent="0.25">
      <c r="B97" s="8"/>
      <c r="C97" s="187"/>
      <c r="D97" s="9"/>
      <c r="E97" s="9"/>
      <c r="F97" s="9"/>
      <c r="G97" s="9"/>
      <c r="H97" s="9"/>
      <c r="I97" s="9"/>
      <c r="J97" s="9"/>
      <c r="K97" s="9"/>
      <c r="L97" s="9"/>
      <c r="M97" s="9"/>
      <c r="N97" s="9"/>
      <c r="O97" s="9"/>
      <c r="P97" s="9"/>
      <c r="Q97" s="9"/>
      <c r="R97" s="9"/>
      <c r="S97" s="11"/>
      <c r="T97" s="9"/>
      <c r="U97" s="9"/>
      <c r="V97" s="9"/>
      <c r="W97" s="9"/>
      <c r="X97" s="9"/>
      <c r="Y97" s="9"/>
      <c r="Z97" s="9"/>
      <c r="AA97" s="9"/>
      <c r="AB97" s="9"/>
      <c r="AC97" s="9"/>
      <c r="AD97" s="9"/>
      <c r="AE97" s="9"/>
      <c r="AF97" s="9"/>
      <c r="AG97" s="9"/>
      <c r="AH97" s="9"/>
      <c r="AI97" s="9"/>
      <c r="AJ97" s="9"/>
      <c r="AK97" s="9"/>
      <c r="AL97" s="9"/>
      <c r="AM97" s="9"/>
      <c r="AN97" s="9"/>
      <c r="AO97" s="7"/>
      <c r="AP97" s="7"/>
      <c r="AQ97" s="7"/>
      <c r="AR97" s="7"/>
      <c r="AS97" s="7"/>
      <c r="AT97" s="7"/>
      <c r="AU97" s="7"/>
      <c r="AV97" s="7"/>
      <c r="AW97" s="7"/>
      <c r="AX97" s="7"/>
      <c r="AY97" s="7"/>
      <c r="AZ97" s="45"/>
      <c r="BA97" s="22"/>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22"/>
      <c r="CI97" s="9"/>
      <c r="CK97" s="136"/>
      <c r="CL97" s="136"/>
      <c r="CN97" s="136"/>
      <c r="CP97" s="136"/>
    </row>
    <row r="98" spans="2:94" s="1" customFormat="1" x14ac:dyDescent="0.25">
      <c r="B98" s="8"/>
      <c r="C98" s="187"/>
      <c r="D98" s="9"/>
      <c r="E98" s="9"/>
      <c r="F98" s="9"/>
      <c r="G98" s="9"/>
      <c r="H98" s="9"/>
      <c r="I98" s="9"/>
      <c r="J98" s="9"/>
      <c r="K98" s="9"/>
      <c r="L98" s="9"/>
      <c r="M98" s="9"/>
      <c r="N98" s="9"/>
      <c r="O98" s="9"/>
      <c r="P98" s="9"/>
      <c r="Q98" s="9"/>
      <c r="R98" s="9"/>
      <c r="S98" s="11"/>
      <c r="T98" s="9"/>
      <c r="U98" s="9"/>
      <c r="V98" s="9"/>
      <c r="W98" s="9"/>
      <c r="X98" s="9"/>
      <c r="Y98" s="9"/>
      <c r="Z98" s="9"/>
      <c r="AA98" s="9"/>
      <c r="AB98" s="9"/>
      <c r="AC98" s="9"/>
      <c r="AD98" s="9"/>
      <c r="AE98" s="9"/>
      <c r="AF98" s="9"/>
      <c r="AG98" s="9"/>
      <c r="AH98" s="9"/>
      <c r="AI98" s="9"/>
      <c r="AJ98" s="9"/>
      <c r="AK98" s="9"/>
      <c r="AL98" s="9"/>
      <c r="AM98" s="9"/>
      <c r="AN98" s="9"/>
      <c r="AO98" s="7"/>
      <c r="AP98" s="7"/>
      <c r="AQ98" s="7"/>
      <c r="AR98" s="7"/>
      <c r="AS98" s="7"/>
      <c r="AT98" s="7"/>
      <c r="AU98" s="7"/>
      <c r="AV98" s="7"/>
      <c r="AW98" s="7"/>
      <c r="AX98" s="7"/>
      <c r="AY98" s="7"/>
      <c r="AZ98" s="45"/>
      <c r="BA98" s="22"/>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22"/>
      <c r="CI98" s="9"/>
      <c r="CK98" s="136"/>
      <c r="CL98" s="136"/>
      <c r="CN98" s="136"/>
      <c r="CP98" s="136"/>
    </row>
    <row r="99" spans="2:94" s="1" customFormat="1" x14ac:dyDescent="0.25">
      <c r="B99" s="8"/>
      <c r="C99" s="187"/>
      <c r="D99" s="9"/>
      <c r="E99" s="9"/>
      <c r="F99" s="9"/>
      <c r="G99" s="9"/>
      <c r="H99" s="9"/>
      <c r="I99" s="9"/>
      <c r="J99" s="9"/>
      <c r="K99" s="9"/>
      <c r="L99" s="9"/>
      <c r="M99" s="9"/>
      <c r="N99" s="9"/>
      <c r="O99" s="9"/>
      <c r="P99" s="9"/>
      <c r="Q99" s="9"/>
      <c r="R99" s="9"/>
      <c r="S99" s="11"/>
      <c r="T99" s="9"/>
      <c r="U99" s="9"/>
      <c r="V99" s="9"/>
      <c r="W99" s="9"/>
      <c r="X99" s="9"/>
      <c r="Y99" s="9"/>
      <c r="Z99" s="9"/>
      <c r="AA99" s="9"/>
      <c r="AB99" s="9"/>
      <c r="AC99" s="9"/>
      <c r="AD99" s="9"/>
      <c r="AE99" s="9"/>
      <c r="AF99" s="9"/>
      <c r="AG99" s="9"/>
      <c r="AH99" s="9"/>
      <c r="AI99" s="9"/>
      <c r="AJ99" s="9"/>
      <c r="AK99" s="9"/>
      <c r="AL99" s="9"/>
      <c r="AM99" s="9"/>
      <c r="AN99" s="9"/>
      <c r="AO99" s="7"/>
      <c r="AP99" s="7"/>
      <c r="AQ99" s="7"/>
      <c r="AR99" s="7"/>
      <c r="AS99" s="7"/>
      <c r="AT99" s="7"/>
      <c r="AU99" s="7"/>
      <c r="AV99" s="7"/>
      <c r="AW99" s="7"/>
      <c r="AX99" s="7"/>
      <c r="AY99" s="7"/>
      <c r="AZ99" s="45"/>
      <c r="BA99" s="22"/>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22"/>
      <c r="CI99" s="9"/>
      <c r="CK99" s="136"/>
      <c r="CL99" s="136"/>
      <c r="CN99" s="136"/>
      <c r="CP99" s="136"/>
    </row>
    <row r="100" spans="2:94" s="1" customFormat="1" x14ac:dyDescent="0.25">
      <c r="B100" s="8"/>
      <c r="C100" s="187"/>
      <c r="D100" s="9"/>
      <c r="E100" s="9"/>
      <c r="F100" s="9"/>
      <c r="G100" s="9"/>
      <c r="H100" s="9"/>
      <c r="I100" s="9"/>
      <c r="J100" s="9"/>
      <c r="K100" s="9"/>
      <c r="L100" s="9"/>
      <c r="M100" s="9"/>
      <c r="N100" s="9"/>
      <c r="O100" s="9"/>
      <c r="P100" s="9"/>
      <c r="Q100" s="9"/>
      <c r="R100" s="9"/>
      <c r="S100" s="11"/>
      <c r="T100" s="9"/>
      <c r="U100" s="9"/>
      <c r="V100" s="9"/>
      <c r="W100" s="9"/>
      <c r="X100" s="9"/>
      <c r="Y100" s="9"/>
      <c r="Z100" s="9"/>
      <c r="AA100" s="9"/>
      <c r="AB100" s="9"/>
      <c r="AC100" s="9"/>
      <c r="AD100" s="9"/>
      <c r="AE100" s="9"/>
      <c r="AF100" s="9"/>
      <c r="AG100" s="9"/>
      <c r="AH100" s="9"/>
      <c r="AI100" s="9"/>
      <c r="AJ100" s="9"/>
      <c r="AK100" s="9"/>
      <c r="AL100" s="9"/>
      <c r="AM100" s="9"/>
      <c r="AN100" s="9"/>
      <c r="AO100" s="7"/>
      <c r="AP100" s="7"/>
      <c r="AQ100" s="7"/>
      <c r="AR100" s="7"/>
      <c r="AS100" s="7"/>
      <c r="AT100" s="7"/>
      <c r="AU100" s="7"/>
      <c r="AV100" s="7"/>
      <c r="AW100" s="7"/>
      <c r="AX100" s="7"/>
      <c r="AY100" s="7"/>
      <c r="AZ100" s="45"/>
      <c r="BA100" s="22"/>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22"/>
      <c r="CI100" s="9"/>
      <c r="CK100" s="136"/>
      <c r="CL100" s="136"/>
      <c r="CN100" s="136"/>
      <c r="CP100" s="136"/>
    </row>
    <row r="101" spans="2:94" s="1" customFormat="1" x14ac:dyDescent="0.25">
      <c r="B101" s="8"/>
      <c r="C101" s="187"/>
      <c r="D101" s="9"/>
      <c r="E101" s="9"/>
      <c r="F101" s="9"/>
      <c r="G101" s="9"/>
      <c r="H101" s="9"/>
      <c r="I101" s="9"/>
      <c r="J101" s="9"/>
      <c r="K101" s="9"/>
      <c r="L101" s="9"/>
      <c r="M101" s="9"/>
      <c r="N101" s="9"/>
      <c r="O101" s="9"/>
      <c r="P101" s="9"/>
      <c r="Q101" s="9"/>
      <c r="R101" s="9"/>
      <c r="S101" s="11"/>
      <c r="T101" s="9"/>
      <c r="U101" s="9"/>
      <c r="V101" s="9"/>
      <c r="W101" s="9"/>
      <c r="X101" s="9"/>
      <c r="Y101" s="9"/>
      <c r="Z101" s="9"/>
      <c r="AA101" s="9"/>
      <c r="AB101" s="9"/>
      <c r="AC101" s="9"/>
      <c r="AD101" s="9"/>
      <c r="AE101" s="9"/>
      <c r="AF101" s="9"/>
      <c r="AG101" s="9"/>
      <c r="AH101" s="9"/>
      <c r="AI101" s="9"/>
      <c r="AJ101" s="9"/>
      <c r="AK101" s="9"/>
      <c r="AL101" s="9"/>
      <c r="AM101" s="9"/>
      <c r="AN101" s="9"/>
      <c r="AO101" s="7"/>
      <c r="AP101" s="7"/>
      <c r="AQ101" s="7"/>
      <c r="AR101" s="7"/>
      <c r="AS101" s="7"/>
      <c r="AT101" s="7"/>
      <c r="AU101" s="7"/>
      <c r="AV101" s="7"/>
      <c r="AW101" s="7"/>
      <c r="AX101" s="7"/>
      <c r="AY101" s="7"/>
      <c r="AZ101" s="45"/>
      <c r="BA101" s="22"/>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22"/>
      <c r="CI101" s="9"/>
      <c r="CK101" s="136"/>
      <c r="CL101" s="136"/>
      <c r="CN101" s="136"/>
      <c r="CP101" s="136"/>
    </row>
    <row r="102" spans="2:94" s="1" customFormat="1" x14ac:dyDescent="0.25">
      <c r="B102" s="8"/>
      <c r="C102" s="187"/>
      <c r="D102" s="9"/>
      <c r="E102" s="9"/>
      <c r="F102" s="9"/>
      <c r="G102" s="9"/>
      <c r="H102" s="9"/>
      <c r="I102" s="9"/>
      <c r="J102" s="9"/>
      <c r="K102" s="9"/>
      <c r="L102" s="9"/>
      <c r="M102" s="9"/>
      <c r="N102" s="9"/>
      <c r="O102" s="9"/>
      <c r="P102" s="9"/>
      <c r="Q102" s="9"/>
      <c r="R102" s="9"/>
      <c r="S102" s="11"/>
      <c r="T102" s="9"/>
      <c r="U102" s="9"/>
      <c r="V102" s="9"/>
      <c r="W102" s="9"/>
      <c r="X102" s="9"/>
      <c r="Y102" s="9"/>
      <c r="Z102" s="9"/>
      <c r="AA102" s="9"/>
      <c r="AB102" s="9"/>
      <c r="AC102" s="9"/>
      <c r="AD102" s="9"/>
      <c r="AE102" s="9"/>
      <c r="AF102" s="9"/>
      <c r="AG102" s="9"/>
      <c r="AH102" s="9"/>
      <c r="AI102" s="9"/>
      <c r="AJ102" s="9"/>
      <c r="AK102" s="9"/>
      <c r="AL102" s="9"/>
      <c r="AM102" s="9"/>
      <c r="AN102" s="9"/>
      <c r="AO102" s="7"/>
      <c r="AP102" s="7"/>
      <c r="AQ102" s="7"/>
      <c r="AR102" s="7"/>
      <c r="AS102" s="7"/>
      <c r="AT102" s="7"/>
      <c r="AU102" s="7"/>
      <c r="AV102" s="7"/>
      <c r="AW102" s="7"/>
      <c r="AX102" s="7"/>
      <c r="AY102" s="7"/>
      <c r="AZ102" s="45"/>
      <c r="BA102" s="22"/>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22"/>
      <c r="CI102" s="9"/>
      <c r="CK102" s="136"/>
      <c r="CL102" s="136"/>
      <c r="CN102" s="136"/>
      <c r="CP102" s="136"/>
    </row>
    <row r="103" spans="2:94" s="1" customFormat="1" x14ac:dyDescent="0.25">
      <c r="B103" s="8"/>
      <c r="C103" s="187"/>
      <c r="D103" s="9"/>
      <c r="E103" s="9"/>
      <c r="F103" s="9"/>
      <c r="G103" s="9"/>
      <c r="H103" s="9"/>
      <c r="I103" s="9"/>
      <c r="J103" s="9"/>
      <c r="K103" s="9"/>
      <c r="L103" s="9"/>
      <c r="M103" s="9"/>
      <c r="N103" s="9"/>
      <c r="O103" s="9"/>
      <c r="P103" s="9"/>
      <c r="Q103" s="9"/>
      <c r="R103" s="9"/>
      <c r="S103" s="11"/>
      <c r="T103" s="9"/>
      <c r="U103" s="9"/>
      <c r="V103" s="9"/>
      <c r="W103" s="9"/>
      <c r="X103" s="9"/>
      <c r="Y103" s="9"/>
      <c r="Z103" s="9"/>
      <c r="AA103" s="9"/>
      <c r="AB103" s="9"/>
      <c r="AC103" s="9"/>
      <c r="AD103" s="9"/>
      <c r="AE103" s="9"/>
      <c r="AF103" s="9"/>
      <c r="AG103" s="9"/>
      <c r="AH103" s="9"/>
      <c r="AI103" s="9"/>
      <c r="AJ103" s="9"/>
      <c r="AK103" s="9"/>
      <c r="AL103" s="9"/>
      <c r="AM103" s="9"/>
      <c r="AN103" s="9"/>
      <c r="AO103" s="7"/>
      <c r="AP103" s="7"/>
      <c r="AQ103" s="7"/>
      <c r="AR103" s="7"/>
      <c r="AS103" s="7"/>
      <c r="AT103" s="7"/>
      <c r="AU103" s="7"/>
      <c r="AV103" s="7"/>
      <c r="AW103" s="7"/>
      <c r="AX103" s="7"/>
      <c r="AY103" s="7"/>
      <c r="AZ103" s="45"/>
      <c r="BA103" s="22"/>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22"/>
      <c r="CI103" s="9"/>
      <c r="CK103" s="136"/>
      <c r="CL103" s="136"/>
      <c r="CN103" s="136"/>
      <c r="CP103" s="136"/>
    </row>
    <row r="104" spans="2:94" s="1" customFormat="1" x14ac:dyDescent="0.25">
      <c r="B104" s="8"/>
      <c r="C104" s="187"/>
      <c r="D104" s="9"/>
      <c r="E104" s="9"/>
      <c r="F104" s="9"/>
      <c r="G104" s="9"/>
      <c r="H104" s="9"/>
      <c r="I104" s="9"/>
      <c r="J104" s="9"/>
      <c r="K104" s="9"/>
      <c r="L104" s="9"/>
      <c r="M104" s="9"/>
      <c r="N104" s="9"/>
      <c r="O104" s="9"/>
      <c r="P104" s="9"/>
      <c r="Q104" s="9"/>
      <c r="R104" s="9"/>
      <c r="S104" s="11"/>
      <c r="T104" s="9"/>
      <c r="U104" s="9"/>
      <c r="V104" s="9"/>
      <c r="W104" s="9"/>
      <c r="X104" s="9"/>
      <c r="Y104" s="9"/>
      <c r="Z104" s="9"/>
      <c r="AA104" s="9"/>
      <c r="AB104" s="9"/>
      <c r="AC104" s="9"/>
      <c r="AD104" s="9"/>
      <c r="AE104" s="9"/>
      <c r="AF104" s="9"/>
      <c r="AG104" s="9"/>
      <c r="AH104" s="9"/>
      <c r="AI104" s="9"/>
      <c r="AJ104" s="9"/>
      <c r="AK104" s="9"/>
      <c r="AL104" s="9"/>
      <c r="AM104" s="9"/>
      <c r="AN104" s="9"/>
      <c r="AO104" s="7"/>
      <c r="AP104" s="7"/>
      <c r="AQ104" s="7"/>
      <c r="AR104" s="7"/>
      <c r="AS104" s="7"/>
      <c r="AT104" s="7"/>
      <c r="AU104" s="7"/>
      <c r="AV104" s="7"/>
      <c r="AW104" s="7"/>
      <c r="AX104" s="7"/>
      <c r="AY104" s="7"/>
      <c r="AZ104" s="45"/>
      <c r="BA104" s="22"/>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22"/>
      <c r="CI104" s="9"/>
      <c r="CK104" s="136"/>
      <c r="CL104" s="136"/>
      <c r="CN104" s="136"/>
      <c r="CP104" s="136"/>
    </row>
    <row r="105" spans="2:94" s="1" customFormat="1" x14ac:dyDescent="0.25">
      <c r="B105" s="8"/>
      <c r="C105" s="187"/>
      <c r="D105" s="9"/>
      <c r="E105" s="9"/>
      <c r="F105" s="9"/>
      <c r="G105" s="9"/>
      <c r="H105" s="9"/>
      <c r="I105" s="9"/>
      <c r="J105" s="9"/>
      <c r="K105" s="9"/>
      <c r="L105" s="9"/>
      <c r="M105" s="9"/>
      <c r="N105" s="9"/>
      <c r="O105" s="9"/>
      <c r="P105" s="9"/>
      <c r="Q105" s="9"/>
      <c r="R105" s="9"/>
      <c r="S105" s="11"/>
      <c r="T105" s="9"/>
      <c r="U105" s="9"/>
      <c r="V105" s="9"/>
      <c r="W105" s="9"/>
      <c r="X105" s="9"/>
      <c r="Y105" s="9"/>
      <c r="Z105" s="9"/>
      <c r="AA105" s="9"/>
      <c r="AB105" s="9"/>
      <c r="AC105" s="9"/>
      <c r="AD105" s="9"/>
      <c r="AE105" s="9"/>
      <c r="AF105" s="9"/>
      <c r="AG105" s="9"/>
      <c r="AH105" s="9"/>
      <c r="AI105" s="9"/>
      <c r="AJ105" s="9"/>
      <c r="AK105" s="9"/>
      <c r="AL105" s="9"/>
      <c r="AM105" s="9"/>
      <c r="AN105" s="9"/>
      <c r="AO105" s="7"/>
      <c r="AP105" s="7"/>
      <c r="AQ105" s="7"/>
      <c r="AR105" s="7"/>
      <c r="AS105" s="7"/>
      <c r="AT105" s="7"/>
      <c r="AU105" s="7"/>
      <c r="AV105" s="7"/>
      <c r="AW105" s="7"/>
      <c r="AX105" s="7"/>
      <c r="AY105" s="7"/>
      <c r="AZ105" s="45"/>
      <c r="BA105" s="22"/>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22"/>
      <c r="CI105" s="9"/>
      <c r="CK105" s="136"/>
      <c r="CL105" s="136"/>
      <c r="CN105" s="136"/>
      <c r="CP105" s="136"/>
    </row>
    <row r="106" spans="2:94" s="1" customFormat="1" x14ac:dyDescent="0.25">
      <c r="B106" s="8"/>
      <c r="C106" s="187"/>
      <c r="D106" s="9"/>
      <c r="E106" s="9"/>
      <c r="F106" s="9"/>
      <c r="G106" s="9"/>
      <c r="H106" s="9"/>
      <c r="I106" s="9"/>
      <c r="J106" s="9"/>
      <c r="K106" s="9"/>
      <c r="L106" s="9"/>
      <c r="M106" s="9"/>
      <c r="N106" s="9"/>
      <c r="O106" s="9"/>
      <c r="P106" s="9"/>
      <c r="Q106" s="9"/>
      <c r="R106" s="9"/>
      <c r="S106" s="11"/>
      <c r="T106" s="9"/>
      <c r="U106" s="9"/>
      <c r="V106" s="9"/>
      <c r="W106" s="9"/>
      <c r="X106" s="9"/>
      <c r="Y106" s="9"/>
      <c r="Z106" s="9"/>
      <c r="AA106" s="9"/>
      <c r="AB106" s="9"/>
      <c r="AC106" s="9"/>
      <c r="AD106" s="9"/>
      <c r="AE106" s="9"/>
      <c r="AF106" s="9"/>
      <c r="AG106" s="9"/>
      <c r="AH106" s="9"/>
      <c r="AI106" s="9"/>
      <c r="AJ106" s="9"/>
      <c r="AK106" s="9"/>
      <c r="AL106" s="9"/>
      <c r="AM106" s="9"/>
      <c r="AN106" s="9"/>
      <c r="AO106" s="7"/>
      <c r="AP106" s="7"/>
      <c r="AQ106" s="7"/>
      <c r="AR106" s="7"/>
      <c r="AS106" s="7"/>
      <c r="AT106" s="7"/>
      <c r="AU106" s="7"/>
      <c r="AV106" s="7"/>
      <c r="AW106" s="7"/>
      <c r="AX106" s="7"/>
      <c r="AY106" s="7"/>
      <c r="AZ106" s="45"/>
      <c r="BA106" s="22"/>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22"/>
      <c r="CI106" s="9"/>
      <c r="CK106" s="136"/>
      <c r="CL106" s="136"/>
      <c r="CN106" s="136"/>
      <c r="CP106" s="136"/>
    </row>
    <row r="107" spans="2:94" s="1" customFormat="1" x14ac:dyDescent="0.25">
      <c r="B107" s="8"/>
      <c r="C107" s="187"/>
      <c r="D107" s="9"/>
      <c r="E107" s="9"/>
      <c r="F107" s="9"/>
      <c r="G107" s="9"/>
      <c r="H107" s="9"/>
      <c r="I107" s="9"/>
      <c r="J107" s="9"/>
      <c r="K107" s="9"/>
      <c r="L107" s="9"/>
      <c r="M107" s="9"/>
      <c r="N107" s="9"/>
      <c r="O107" s="9"/>
      <c r="P107" s="9"/>
      <c r="Q107" s="9"/>
      <c r="R107" s="9"/>
      <c r="S107" s="11"/>
      <c r="T107" s="9"/>
      <c r="U107" s="9"/>
      <c r="V107" s="9"/>
      <c r="W107" s="9"/>
      <c r="X107" s="9"/>
      <c r="Y107" s="9"/>
      <c r="Z107" s="9"/>
      <c r="AA107" s="9"/>
      <c r="AB107" s="9"/>
      <c r="AC107" s="9"/>
      <c r="AD107" s="9"/>
      <c r="AE107" s="9"/>
      <c r="AF107" s="9"/>
      <c r="AG107" s="9"/>
      <c r="AH107" s="9"/>
      <c r="AI107" s="9"/>
      <c r="AJ107" s="9"/>
      <c r="AK107" s="9"/>
      <c r="AL107" s="9"/>
      <c r="AM107" s="9"/>
      <c r="AN107" s="9"/>
      <c r="AO107" s="7"/>
      <c r="AP107" s="7"/>
      <c r="AQ107" s="7"/>
      <c r="AR107" s="7"/>
      <c r="AS107" s="7"/>
      <c r="AT107" s="7"/>
      <c r="AU107" s="7"/>
      <c r="AV107" s="7"/>
      <c r="AW107" s="7"/>
      <c r="AX107" s="7"/>
      <c r="AY107" s="7"/>
      <c r="AZ107" s="45"/>
      <c r="BA107" s="22"/>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22"/>
      <c r="CI107" s="9"/>
      <c r="CK107" s="136"/>
      <c r="CL107" s="136"/>
      <c r="CN107" s="136"/>
      <c r="CP107" s="136"/>
    </row>
    <row r="108" spans="2:94" s="1" customFormat="1" x14ac:dyDescent="0.25">
      <c r="B108" s="8"/>
      <c r="C108" s="187"/>
      <c r="D108" s="9"/>
      <c r="E108" s="9"/>
      <c r="F108" s="9"/>
      <c r="G108" s="9"/>
      <c r="H108" s="9"/>
      <c r="I108" s="9"/>
      <c r="J108" s="9"/>
      <c r="K108" s="9"/>
      <c r="L108" s="9"/>
      <c r="M108" s="9"/>
      <c r="N108" s="9"/>
      <c r="O108" s="9"/>
      <c r="P108" s="9"/>
      <c r="Q108" s="9"/>
      <c r="R108" s="9"/>
      <c r="S108" s="11"/>
      <c r="T108" s="9"/>
      <c r="U108" s="9"/>
      <c r="V108" s="9"/>
      <c r="W108" s="9"/>
      <c r="X108" s="9"/>
      <c r="Y108" s="9"/>
      <c r="Z108" s="9"/>
      <c r="AA108" s="9"/>
      <c r="AB108" s="9"/>
      <c r="AC108" s="9"/>
      <c r="AD108" s="9"/>
      <c r="AE108" s="9"/>
      <c r="AF108" s="9"/>
      <c r="AG108" s="9"/>
      <c r="AH108" s="9"/>
      <c r="AI108" s="9"/>
      <c r="AJ108" s="9"/>
      <c r="AK108" s="9"/>
      <c r="AL108" s="9"/>
      <c r="AM108" s="9"/>
      <c r="AN108" s="9"/>
      <c r="AO108" s="7"/>
      <c r="AP108" s="7"/>
      <c r="AQ108" s="7"/>
      <c r="AR108" s="7"/>
      <c r="AS108" s="7"/>
      <c r="AT108" s="7"/>
      <c r="AU108" s="7"/>
      <c r="AV108" s="7"/>
      <c r="AW108" s="7"/>
      <c r="AX108" s="7"/>
      <c r="AY108" s="7"/>
      <c r="AZ108" s="45"/>
      <c r="BA108" s="22"/>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22"/>
      <c r="CI108" s="9"/>
      <c r="CK108" s="136"/>
      <c r="CL108" s="136"/>
      <c r="CN108" s="136"/>
      <c r="CP108" s="136"/>
    </row>
    <row r="109" spans="2:94" s="1" customFormat="1" x14ac:dyDescent="0.25">
      <c r="B109" s="8"/>
      <c r="C109" s="187"/>
      <c r="D109" s="9"/>
      <c r="E109" s="9"/>
      <c r="F109" s="9"/>
      <c r="G109" s="9"/>
      <c r="H109" s="9"/>
      <c r="I109" s="9"/>
      <c r="J109" s="9"/>
      <c r="K109" s="9"/>
      <c r="L109" s="9"/>
      <c r="M109" s="9"/>
      <c r="N109" s="9"/>
      <c r="O109" s="9"/>
      <c r="P109" s="9"/>
      <c r="Q109" s="9"/>
      <c r="R109" s="9"/>
      <c r="S109" s="11"/>
      <c r="T109" s="9"/>
      <c r="U109" s="9"/>
      <c r="V109" s="9"/>
      <c r="W109" s="9"/>
      <c r="X109" s="9"/>
      <c r="Y109" s="9"/>
      <c r="Z109" s="9"/>
      <c r="AA109" s="9"/>
      <c r="AB109" s="9"/>
      <c r="AC109" s="9"/>
      <c r="AD109" s="9"/>
      <c r="AE109" s="9"/>
      <c r="AF109" s="9"/>
      <c r="AG109" s="9"/>
      <c r="AH109" s="9"/>
      <c r="AI109" s="9"/>
      <c r="AJ109" s="9"/>
      <c r="AK109" s="9"/>
      <c r="AL109" s="9"/>
      <c r="AM109" s="9"/>
      <c r="AN109" s="9"/>
      <c r="AO109" s="7"/>
      <c r="AP109" s="7"/>
      <c r="AQ109" s="7"/>
      <c r="AR109" s="7"/>
      <c r="AS109" s="7"/>
      <c r="AT109" s="7"/>
      <c r="AU109" s="7"/>
      <c r="AV109" s="7"/>
      <c r="AW109" s="7"/>
      <c r="AX109" s="7"/>
      <c r="AY109" s="7"/>
      <c r="AZ109" s="45"/>
      <c r="BA109" s="22"/>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22"/>
      <c r="CI109" s="9"/>
      <c r="CK109" s="136"/>
      <c r="CL109" s="136"/>
      <c r="CN109" s="136"/>
      <c r="CP109" s="136"/>
    </row>
    <row r="110" spans="2:94" s="1" customFormat="1" x14ac:dyDescent="0.25">
      <c r="B110" s="8"/>
      <c r="C110" s="187"/>
      <c r="D110" s="9"/>
      <c r="E110" s="9"/>
      <c r="F110" s="9"/>
      <c r="G110" s="9"/>
      <c r="H110" s="9"/>
      <c r="I110" s="9"/>
      <c r="J110" s="9"/>
      <c r="K110" s="9"/>
      <c r="L110" s="9"/>
      <c r="M110" s="9"/>
      <c r="N110" s="9"/>
      <c r="O110" s="9"/>
      <c r="P110" s="9"/>
      <c r="Q110" s="9"/>
      <c r="R110" s="9"/>
      <c r="S110" s="11"/>
      <c r="T110" s="9"/>
      <c r="U110" s="9"/>
      <c r="V110" s="9"/>
      <c r="W110" s="9"/>
      <c r="X110" s="9"/>
      <c r="Y110" s="9"/>
      <c r="Z110" s="9"/>
      <c r="AA110" s="9"/>
      <c r="AB110" s="9"/>
      <c r="AC110" s="9"/>
      <c r="AD110" s="9"/>
      <c r="AE110" s="9"/>
      <c r="AF110" s="9"/>
      <c r="AG110" s="9"/>
      <c r="AH110" s="9"/>
      <c r="AI110" s="9"/>
      <c r="AJ110" s="9"/>
      <c r="AK110" s="9"/>
      <c r="AL110" s="9"/>
      <c r="AM110" s="9"/>
      <c r="AN110" s="9"/>
      <c r="AO110" s="7"/>
      <c r="AP110" s="7"/>
      <c r="AQ110" s="7"/>
      <c r="AR110" s="7"/>
      <c r="AS110" s="7"/>
      <c r="AT110" s="7"/>
      <c r="AU110" s="7"/>
      <c r="AV110" s="7"/>
      <c r="AW110" s="7"/>
      <c r="AX110" s="7"/>
      <c r="AY110" s="7"/>
      <c r="AZ110" s="45"/>
      <c r="BA110" s="22"/>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22"/>
      <c r="CI110" s="9"/>
      <c r="CK110" s="136"/>
      <c r="CL110" s="136"/>
      <c r="CN110" s="136"/>
      <c r="CP110" s="136"/>
    </row>
    <row r="111" spans="2:94" s="1" customFormat="1" x14ac:dyDescent="0.25">
      <c r="B111" s="8"/>
      <c r="C111" s="187"/>
      <c r="D111" s="9"/>
      <c r="E111" s="9"/>
      <c r="F111" s="9"/>
      <c r="G111" s="9"/>
      <c r="H111" s="9"/>
      <c r="I111" s="9"/>
      <c r="J111" s="9"/>
      <c r="K111" s="9"/>
      <c r="L111" s="9"/>
      <c r="M111" s="9"/>
      <c r="N111" s="9"/>
      <c r="O111" s="9"/>
      <c r="P111" s="9"/>
      <c r="Q111" s="9"/>
      <c r="R111" s="9"/>
      <c r="S111" s="11"/>
      <c r="T111" s="9"/>
      <c r="U111" s="9"/>
      <c r="V111" s="9"/>
      <c r="W111" s="9"/>
      <c r="X111" s="9"/>
      <c r="Y111" s="9"/>
      <c r="Z111" s="9"/>
      <c r="AA111" s="9"/>
      <c r="AB111" s="9"/>
      <c r="AC111" s="9"/>
      <c r="AD111" s="9"/>
      <c r="AE111" s="9"/>
      <c r="AF111" s="9"/>
      <c r="AG111" s="9"/>
      <c r="AH111" s="9"/>
      <c r="AI111" s="9"/>
      <c r="AJ111" s="9"/>
      <c r="AK111" s="9"/>
      <c r="AL111" s="9"/>
      <c r="AM111" s="9"/>
      <c r="AN111" s="9"/>
      <c r="AO111" s="7"/>
      <c r="AP111" s="7"/>
      <c r="AQ111" s="7"/>
      <c r="AR111" s="7"/>
      <c r="AS111" s="7"/>
      <c r="AT111" s="7"/>
      <c r="AU111" s="7"/>
      <c r="AV111" s="7"/>
      <c r="AW111" s="7"/>
      <c r="AX111" s="7"/>
      <c r="AY111" s="7"/>
      <c r="AZ111" s="45"/>
      <c r="BA111" s="22"/>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22"/>
      <c r="CI111" s="9"/>
      <c r="CK111" s="136"/>
      <c r="CL111" s="136"/>
      <c r="CN111" s="136"/>
      <c r="CP111" s="136"/>
    </row>
    <row r="112" spans="2:94" s="1" customFormat="1" x14ac:dyDescent="0.25">
      <c r="B112" s="8"/>
      <c r="C112" s="187"/>
      <c r="D112" s="9"/>
      <c r="E112" s="9"/>
      <c r="F112" s="9"/>
      <c r="G112" s="9"/>
      <c r="H112" s="9"/>
      <c r="I112" s="9"/>
      <c r="J112" s="9"/>
      <c r="K112" s="9"/>
      <c r="L112" s="9"/>
      <c r="M112" s="9"/>
      <c r="N112" s="9"/>
      <c r="O112" s="9"/>
      <c r="P112" s="9"/>
      <c r="Q112" s="9"/>
      <c r="R112" s="9"/>
      <c r="S112" s="11"/>
      <c r="T112" s="9"/>
      <c r="U112" s="9"/>
      <c r="V112" s="9"/>
      <c r="W112" s="9"/>
      <c r="X112" s="9"/>
      <c r="Y112" s="9"/>
      <c r="Z112" s="9"/>
      <c r="AA112" s="9"/>
      <c r="AB112" s="9"/>
      <c r="AC112" s="9"/>
      <c r="AD112" s="9"/>
      <c r="AE112" s="9"/>
      <c r="AF112" s="9"/>
      <c r="AG112" s="9"/>
      <c r="AH112" s="9"/>
      <c r="AI112" s="9"/>
      <c r="AJ112" s="9"/>
      <c r="AK112" s="9"/>
      <c r="AL112" s="9"/>
      <c r="AM112" s="9"/>
      <c r="AN112" s="9"/>
      <c r="AO112" s="7"/>
      <c r="AP112" s="7"/>
      <c r="AQ112" s="7"/>
      <c r="AR112" s="7"/>
      <c r="AS112" s="7"/>
      <c r="AT112" s="7"/>
      <c r="AU112" s="7"/>
      <c r="AV112" s="7"/>
      <c r="AW112" s="7"/>
      <c r="AX112" s="7"/>
      <c r="AY112" s="7"/>
      <c r="AZ112" s="45"/>
      <c r="BA112" s="22"/>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22"/>
      <c r="CI112" s="9"/>
      <c r="CK112" s="136"/>
      <c r="CL112" s="136"/>
      <c r="CN112" s="136"/>
      <c r="CP112" s="136"/>
    </row>
    <row r="113" spans="2:94" s="1" customFormat="1" x14ac:dyDescent="0.25">
      <c r="B113" s="8"/>
      <c r="C113" s="187"/>
      <c r="D113" s="9"/>
      <c r="E113" s="9"/>
      <c r="F113" s="9"/>
      <c r="G113" s="9"/>
      <c r="H113" s="9"/>
      <c r="I113" s="9"/>
      <c r="J113" s="9"/>
      <c r="K113" s="9"/>
      <c r="L113" s="9"/>
      <c r="M113" s="9"/>
      <c r="N113" s="9"/>
      <c r="O113" s="9"/>
      <c r="P113" s="9"/>
      <c r="Q113" s="9"/>
      <c r="R113" s="9"/>
      <c r="S113" s="11"/>
      <c r="T113" s="9"/>
      <c r="U113" s="9"/>
      <c r="V113" s="9"/>
      <c r="W113" s="9"/>
      <c r="X113" s="9"/>
      <c r="Y113" s="9"/>
      <c r="Z113" s="9"/>
      <c r="AA113" s="9"/>
      <c r="AB113" s="9"/>
      <c r="AC113" s="9"/>
      <c r="AD113" s="9"/>
      <c r="AE113" s="9"/>
      <c r="AF113" s="9"/>
      <c r="AG113" s="9"/>
      <c r="AH113" s="9"/>
      <c r="AI113" s="9"/>
      <c r="AJ113" s="9"/>
      <c r="AK113" s="9"/>
      <c r="AL113" s="9"/>
      <c r="AM113" s="9"/>
      <c r="AN113" s="9"/>
      <c r="AO113" s="7"/>
      <c r="AP113" s="7"/>
      <c r="AQ113" s="7"/>
      <c r="AR113" s="7"/>
      <c r="AS113" s="7"/>
      <c r="AT113" s="7"/>
      <c r="AU113" s="7"/>
      <c r="AV113" s="7"/>
      <c r="AW113" s="7"/>
      <c r="AX113" s="7"/>
      <c r="AY113" s="7"/>
      <c r="AZ113" s="45"/>
      <c r="BA113" s="22"/>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22"/>
      <c r="CI113" s="9"/>
      <c r="CK113" s="136"/>
      <c r="CL113" s="136"/>
      <c r="CN113" s="136"/>
      <c r="CP113" s="136"/>
    </row>
    <row r="114" spans="2:94" s="1" customFormat="1" x14ac:dyDescent="0.25">
      <c r="B114" s="8"/>
      <c r="C114" s="187"/>
      <c r="D114" s="9"/>
      <c r="E114" s="9"/>
      <c r="F114" s="9"/>
      <c r="G114" s="9"/>
      <c r="H114" s="9"/>
      <c r="I114" s="9"/>
      <c r="J114" s="9"/>
      <c r="K114" s="9"/>
      <c r="L114" s="9"/>
      <c r="M114" s="9"/>
      <c r="N114" s="9"/>
      <c r="O114" s="9"/>
      <c r="P114" s="9"/>
      <c r="Q114" s="9"/>
      <c r="R114" s="9"/>
      <c r="S114" s="11"/>
      <c r="T114" s="9"/>
      <c r="U114" s="9"/>
      <c r="V114" s="9"/>
      <c r="W114" s="9"/>
      <c r="X114" s="9"/>
      <c r="Y114" s="9"/>
      <c r="Z114" s="9"/>
      <c r="AA114" s="9"/>
      <c r="AB114" s="9"/>
      <c r="AC114" s="9"/>
      <c r="AD114" s="9"/>
      <c r="AE114" s="9"/>
      <c r="AF114" s="9"/>
      <c r="AG114" s="9"/>
      <c r="AH114" s="9"/>
      <c r="AI114" s="9"/>
      <c r="AJ114" s="9"/>
      <c r="AK114" s="9"/>
      <c r="AL114" s="9"/>
      <c r="AM114" s="9"/>
      <c r="AN114" s="9"/>
      <c r="AO114" s="27"/>
      <c r="AP114" s="27"/>
      <c r="AQ114" s="27"/>
      <c r="AR114" s="27"/>
      <c r="AS114" s="27"/>
      <c r="AT114" s="27"/>
      <c r="AU114" s="27"/>
      <c r="AV114" s="27"/>
      <c r="AW114" s="27"/>
      <c r="AX114" s="27"/>
      <c r="AY114" s="27"/>
      <c r="AZ114" s="44"/>
      <c r="BA114" s="22"/>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22"/>
      <c r="CI114" s="9"/>
      <c r="CK114" s="136"/>
      <c r="CL114" s="136"/>
      <c r="CN114" s="136"/>
      <c r="CP114" s="136"/>
    </row>
    <row r="115" spans="2:94" s="11" customFormat="1" x14ac:dyDescent="0.25">
      <c r="B115" s="8"/>
      <c r="C115" s="187"/>
      <c r="D115" s="9"/>
      <c r="E115" s="9"/>
      <c r="F115" s="9"/>
      <c r="G115" s="9"/>
      <c r="H115" s="9"/>
      <c r="I115" s="9"/>
      <c r="J115" s="9"/>
      <c r="K115" s="9"/>
      <c r="L115" s="9"/>
      <c r="M115" s="9"/>
      <c r="N115" s="9"/>
      <c r="O115" s="9"/>
      <c r="P115" s="9"/>
      <c r="Q115" s="9"/>
      <c r="R115" s="9"/>
      <c r="T115" s="9"/>
      <c r="U115" s="9"/>
      <c r="V115" s="9"/>
      <c r="W115" s="9"/>
      <c r="X115" s="9"/>
      <c r="Y115" s="9"/>
      <c r="Z115" s="9"/>
      <c r="AA115" s="9"/>
      <c r="AB115" s="9"/>
      <c r="AC115" s="9"/>
      <c r="AD115" s="9"/>
      <c r="AE115" s="9"/>
      <c r="AF115" s="9"/>
      <c r="AG115" s="9"/>
      <c r="AH115" s="9"/>
      <c r="AI115" s="9"/>
      <c r="AJ115" s="9"/>
      <c r="AK115" s="9"/>
      <c r="AL115" s="9"/>
      <c r="AM115" s="9"/>
      <c r="AN115" s="9"/>
      <c r="AO115" s="27"/>
      <c r="AP115" s="27"/>
      <c r="AQ115" s="27"/>
      <c r="AR115" s="27"/>
      <c r="AS115" s="27"/>
      <c r="AT115" s="27"/>
      <c r="AU115" s="27"/>
      <c r="AV115" s="27"/>
      <c r="AW115" s="27"/>
      <c r="AX115" s="27"/>
      <c r="AY115" s="27"/>
      <c r="AZ115" s="44"/>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E115" s="1"/>
      <c r="CF115" s="1"/>
      <c r="CG115" s="1"/>
      <c r="CH115" s="1"/>
      <c r="CI115" s="9"/>
      <c r="CJ115" s="1"/>
    </row>
    <row r="116" spans="2:94" s="11" customFormat="1" x14ac:dyDescent="0.25">
      <c r="B116" s="8"/>
      <c r="C116" s="187"/>
      <c r="D116" s="9"/>
      <c r="E116" s="9"/>
      <c r="F116" s="9"/>
      <c r="G116" s="9"/>
      <c r="H116" s="9"/>
      <c r="I116" s="9"/>
      <c r="J116" s="9"/>
      <c r="K116" s="9"/>
      <c r="L116" s="9"/>
      <c r="M116" s="9"/>
      <c r="N116" s="9"/>
      <c r="O116" s="9"/>
      <c r="P116" s="9"/>
      <c r="Q116" s="9"/>
      <c r="R116" s="9"/>
      <c r="T116" s="9"/>
      <c r="U116" s="9"/>
      <c r="V116" s="9"/>
      <c r="W116" s="9"/>
      <c r="X116" s="9"/>
      <c r="Y116" s="9"/>
      <c r="Z116" s="9"/>
      <c r="AA116" s="9"/>
      <c r="AB116" s="9"/>
      <c r="AC116" s="9"/>
      <c r="AD116" s="9"/>
      <c r="AE116" s="9"/>
      <c r="AF116" s="9"/>
      <c r="AG116" s="9"/>
      <c r="AH116" s="9"/>
      <c r="AI116" s="9"/>
      <c r="AJ116" s="9"/>
      <c r="AK116" s="9"/>
      <c r="AL116" s="9"/>
      <c r="AM116" s="9"/>
      <c r="AN116" s="9"/>
      <c r="AO116" s="27"/>
      <c r="AP116" s="27"/>
      <c r="AQ116" s="27"/>
      <c r="AR116" s="27"/>
      <c r="AS116" s="27"/>
      <c r="AT116" s="27"/>
      <c r="AU116" s="27"/>
      <c r="AV116" s="27"/>
      <c r="AW116" s="27"/>
      <c r="AX116" s="27"/>
      <c r="AY116" s="27"/>
      <c r="AZ116" s="44"/>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E116" s="1"/>
      <c r="CF116" s="1"/>
      <c r="CG116" s="1"/>
      <c r="CH116" s="1"/>
      <c r="CI116" s="9"/>
      <c r="CJ116" s="1"/>
    </row>
    <row r="117" spans="2:94" s="11" customFormat="1" x14ac:dyDescent="0.25">
      <c r="B117" s="8"/>
      <c r="C117" s="187"/>
      <c r="D117" s="9"/>
      <c r="E117" s="9"/>
      <c r="F117" s="9"/>
      <c r="G117" s="9"/>
      <c r="H117" s="9"/>
      <c r="I117" s="9"/>
      <c r="J117" s="9"/>
      <c r="K117" s="9"/>
      <c r="L117" s="9"/>
      <c r="M117" s="9"/>
      <c r="N117" s="9"/>
      <c r="O117" s="9"/>
      <c r="P117" s="9"/>
      <c r="Q117" s="9"/>
      <c r="R117" s="9"/>
      <c r="T117" s="9"/>
      <c r="U117" s="9"/>
      <c r="V117" s="9"/>
      <c r="W117" s="9"/>
      <c r="X117" s="9"/>
      <c r="Y117" s="9"/>
      <c r="Z117" s="9"/>
      <c r="AA117" s="9"/>
      <c r="AB117" s="9"/>
      <c r="AC117" s="9"/>
      <c r="AD117" s="9"/>
      <c r="AE117" s="9"/>
      <c r="AF117" s="9"/>
      <c r="AG117" s="9"/>
      <c r="AH117" s="9"/>
      <c r="AI117" s="9"/>
      <c r="AJ117" s="9"/>
      <c r="AK117" s="9"/>
      <c r="AL117" s="9"/>
      <c r="AM117" s="9"/>
      <c r="AN117" s="9"/>
      <c r="AO117" s="27"/>
      <c r="AP117" s="27"/>
      <c r="AQ117" s="27"/>
      <c r="AR117" s="27"/>
      <c r="AS117" s="27"/>
      <c r="AT117" s="27"/>
      <c r="AU117" s="27"/>
      <c r="AV117" s="27"/>
      <c r="AW117" s="27"/>
      <c r="AX117" s="27"/>
      <c r="AY117" s="27"/>
      <c r="AZ117" s="44"/>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E117" s="1"/>
      <c r="CF117" s="1"/>
      <c r="CG117" s="1"/>
      <c r="CH117" s="1"/>
      <c r="CI117" s="9"/>
      <c r="CJ117" s="1"/>
    </row>
    <row r="118" spans="2:94" s="11" customFormat="1" x14ac:dyDescent="0.25">
      <c r="B118" s="8"/>
      <c r="C118" s="187"/>
      <c r="D118" s="9"/>
      <c r="E118" s="9"/>
      <c r="F118" s="9"/>
      <c r="G118" s="9"/>
      <c r="H118" s="9"/>
      <c r="I118" s="9"/>
      <c r="J118" s="9"/>
      <c r="K118" s="9"/>
      <c r="L118" s="9"/>
      <c r="M118" s="9"/>
      <c r="N118" s="9"/>
      <c r="O118" s="9"/>
      <c r="P118" s="9"/>
      <c r="Q118" s="9"/>
      <c r="R118" s="9"/>
      <c r="T118" s="9"/>
      <c r="U118" s="9"/>
      <c r="V118" s="9"/>
      <c r="W118" s="9"/>
      <c r="X118" s="9"/>
      <c r="Y118" s="9"/>
      <c r="Z118" s="9"/>
      <c r="AA118" s="9"/>
      <c r="AB118" s="9"/>
      <c r="AC118" s="9"/>
      <c r="AD118" s="9"/>
      <c r="AE118" s="9"/>
      <c r="AF118" s="9"/>
      <c r="AG118" s="9"/>
      <c r="AH118" s="9"/>
      <c r="AI118" s="9"/>
      <c r="AJ118" s="9"/>
      <c r="AK118" s="9"/>
      <c r="AL118" s="9"/>
      <c r="AM118" s="9"/>
      <c r="AN118" s="9"/>
      <c r="AO118" s="27"/>
      <c r="AP118" s="27"/>
      <c r="AQ118" s="27"/>
      <c r="AR118" s="27"/>
      <c r="AS118" s="27"/>
      <c r="AT118" s="27"/>
      <c r="AU118" s="27"/>
      <c r="AV118" s="27"/>
      <c r="AW118" s="27"/>
      <c r="AX118" s="27"/>
      <c r="AY118" s="27"/>
      <c r="AZ118" s="44"/>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E118" s="1"/>
      <c r="CF118" s="1"/>
      <c r="CG118" s="1"/>
      <c r="CH118" s="1"/>
      <c r="CI118" s="9"/>
      <c r="CJ118" s="1"/>
    </row>
    <row r="119" spans="2:94" s="11" customFormat="1" x14ac:dyDescent="0.25">
      <c r="B119" s="8"/>
      <c r="C119" s="187"/>
      <c r="D119" s="9"/>
      <c r="E119" s="9"/>
      <c r="F119" s="9"/>
      <c r="G119" s="9"/>
      <c r="H119" s="9"/>
      <c r="I119" s="9"/>
      <c r="J119" s="9"/>
      <c r="K119" s="9"/>
      <c r="L119" s="9"/>
      <c r="M119" s="9"/>
      <c r="N119" s="9"/>
      <c r="O119" s="9"/>
      <c r="P119" s="9"/>
      <c r="Q119" s="9"/>
      <c r="R119" s="9"/>
      <c r="T119" s="9"/>
      <c r="U119" s="9"/>
      <c r="V119" s="9"/>
      <c r="W119" s="9"/>
      <c r="X119" s="9"/>
      <c r="Y119" s="9"/>
      <c r="Z119" s="9"/>
      <c r="AA119" s="9"/>
      <c r="AB119" s="9"/>
      <c r="AC119" s="9"/>
      <c r="AD119" s="9"/>
      <c r="AE119" s="9"/>
      <c r="AF119" s="9"/>
      <c r="AG119" s="9"/>
      <c r="AH119" s="9"/>
      <c r="AI119" s="9"/>
      <c r="AJ119" s="9"/>
      <c r="AK119" s="9"/>
      <c r="AL119" s="9"/>
      <c r="AM119" s="9"/>
      <c r="AN119" s="9"/>
      <c r="AO119" s="27"/>
      <c r="AP119" s="27"/>
      <c r="AQ119" s="27"/>
      <c r="AR119" s="27"/>
      <c r="AS119" s="27"/>
      <c r="AT119" s="27"/>
      <c r="AU119" s="27"/>
      <c r="AV119" s="27"/>
      <c r="AW119" s="27"/>
      <c r="AX119" s="27"/>
      <c r="AY119" s="27"/>
      <c r="AZ119" s="44"/>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E119" s="1"/>
      <c r="CF119" s="1"/>
      <c r="CG119" s="1"/>
      <c r="CH119" s="1"/>
      <c r="CI119" s="9"/>
      <c r="CJ119" s="1"/>
    </row>
    <row r="120" spans="2:94" s="11" customFormat="1" x14ac:dyDescent="0.25">
      <c r="B120" s="8"/>
      <c r="C120" s="187"/>
      <c r="D120" s="9"/>
      <c r="E120" s="9"/>
      <c r="F120" s="9"/>
      <c r="G120" s="9"/>
      <c r="H120" s="9"/>
      <c r="I120" s="9"/>
      <c r="J120" s="9"/>
      <c r="K120" s="9"/>
      <c r="L120" s="9"/>
      <c r="M120" s="9"/>
      <c r="N120" s="9"/>
      <c r="O120" s="9"/>
      <c r="P120" s="9"/>
      <c r="Q120" s="9"/>
      <c r="R120" s="9"/>
      <c r="T120" s="9"/>
      <c r="U120" s="9"/>
      <c r="V120" s="9"/>
      <c r="W120" s="9"/>
      <c r="X120" s="9"/>
      <c r="Y120" s="9"/>
      <c r="Z120" s="9"/>
      <c r="AA120" s="9"/>
      <c r="AB120" s="9"/>
      <c r="AC120" s="9"/>
      <c r="AD120" s="9"/>
      <c r="AE120" s="9"/>
      <c r="AF120" s="9"/>
      <c r="AG120" s="9"/>
      <c r="AH120" s="9"/>
      <c r="AI120" s="9"/>
      <c r="AJ120" s="9"/>
      <c r="AK120" s="9"/>
      <c r="AL120" s="9"/>
      <c r="AM120" s="9"/>
      <c r="AN120" s="9"/>
      <c r="AO120" s="27"/>
      <c r="AP120" s="27"/>
      <c r="AQ120" s="27"/>
      <c r="AR120" s="27"/>
      <c r="AS120" s="27"/>
      <c r="AT120" s="27"/>
      <c r="AU120" s="27"/>
      <c r="AV120" s="27"/>
      <c r="AW120" s="27"/>
      <c r="AX120" s="27"/>
      <c r="AY120" s="27"/>
      <c r="AZ120" s="44"/>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E120" s="1"/>
      <c r="CF120" s="1"/>
      <c r="CG120" s="1"/>
      <c r="CH120" s="1"/>
      <c r="CI120" s="9"/>
      <c r="CJ120" s="1"/>
    </row>
    <row r="121" spans="2:94" s="11" customFormat="1" x14ac:dyDescent="0.25">
      <c r="B121" s="8"/>
      <c r="C121" s="187"/>
      <c r="D121" s="9"/>
      <c r="E121" s="9"/>
      <c r="F121" s="9"/>
      <c r="G121" s="9"/>
      <c r="H121" s="9"/>
      <c r="I121" s="9"/>
      <c r="J121" s="9"/>
      <c r="K121" s="9"/>
      <c r="L121" s="9"/>
      <c r="M121" s="9"/>
      <c r="N121" s="9"/>
      <c r="O121" s="9"/>
      <c r="P121" s="9"/>
      <c r="Q121" s="9"/>
      <c r="R121" s="9"/>
      <c r="T121" s="9"/>
      <c r="U121" s="9"/>
      <c r="V121" s="9"/>
      <c r="W121" s="9"/>
      <c r="X121" s="9"/>
      <c r="Y121" s="9"/>
      <c r="Z121" s="9"/>
      <c r="AA121" s="9"/>
      <c r="AB121" s="9"/>
      <c r="AC121" s="9"/>
      <c r="AD121" s="9"/>
      <c r="AE121" s="9"/>
      <c r="AF121" s="9"/>
      <c r="AG121" s="9"/>
      <c r="AH121" s="9"/>
      <c r="AI121" s="9"/>
      <c r="AJ121" s="9"/>
      <c r="AK121" s="9"/>
      <c r="AL121" s="9"/>
      <c r="AM121" s="9"/>
      <c r="AN121" s="9"/>
      <c r="AO121" s="27"/>
      <c r="AP121" s="27"/>
      <c r="AQ121" s="27"/>
      <c r="AR121" s="27"/>
      <c r="AS121" s="27"/>
      <c r="AT121" s="27"/>
      <c r="AU121" s="27"/>
      <c r="AV121" s="27"/>
      <c r="AW121" s="27"/>
      <c r="AX121" s="27"/>
      <c r="AY121" s="27"/>
      <c r="AZ121" s="44"/>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E121" s="1"/>
      <c r="CF121" s="1"/>
      <c r="CG121" s="1"/>
      <c r="CH121" s="1"/>
      <c r="CI121" s="9"/>
      <c r="CJ121" s="1"/>
    </row>
    <row r="122" spans="2:94" s="11" customFormat="1" x14ac:dyDescent="0.25">
      <c r="B122" s="8"/>
      <c r="C122" s="187"/>
      <c r="D122" s="9"/>
      <c r="E122" s="9"/>
      <c r="F122" s="9"/>
      <c r="G122" s="9"/>
      <c r="H122" s="9"/>
      <c r="I122" s="9"/>
      <c r="J122" s="9"/>
      <c r="K122" s="9"/>
      <c r="L122" s="9"/>
      <c r="M122" s="9"/>
      <c r="N122" s="9"/>
      <c r="O122" s="9"/>
      <c r="P122" s="9"/>
      <c r="Q122" s="9"/>
      <c r="R122" s="9"/>
      <c r="T122" s="9"/>
      <c r="U122" s="9"/>
      <c r="V122" s="9"/>
      <c r="W122" s="9"/>
      <c r="X122" s="9"/>
      <c r="Y122" s="9"/>
      <c r="Z122" s="9"/>
      <c r="AA122" s="9"/>
      <c r="AB122" s="9"/>
      <c r="AC122" s="9"/>
      <c r="AD122" s="9"/>
      <c r="AE122" s="9"/>
      <c r="AF122" s="9"/>
      <c r="AG122" s="9"/>
      <c r="AH122" s="9"/>
      <c r="AI122" s="9"/>
      <c r="AJ122" s="9"/>
      <c r="AK122" s="9"/>
      <c r="AL122" s="9"/>
      <c r="AM122" s="9"/>
      <c r="AN122" s="9"/>
      <c r="AO122" s="27"/>
      <c r="AP122" s="27"/>
      <c r="AQ122" s="27"/>
      <c r="AR122" s="27"/>
      <c r="AS122" s="27"/>
      <c r="AT122" s="27"/>
      <c r="AU122" s="27"/>
      <c r="AV122" s="27"/>
      <c r="AW122" s="27"/>
      <c r="AX122" s="27"/>
      <c r="AY122" s="27"/>
      <c r="AZ122" s="44"/>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E122" s="1"/>
      <c r="CF122" s="1"/>
      <c r="CG122" s="1"/>
      <c r="CH122" s="1"/>
      <c r="CI122" s="9"/>
      <c r="CJ122" s="1"/>
    </row>
    <row r="123" spans="2:94" s="11" customFormat="1" x14ac:dyDescent="0.25">
      <c r="B123" s="8"/>
      <c r="C123" s="187"/>
      <c r="D123" s="9"/>
      <c r="E123" s="9"/>
      <c r="F123" s="9"/>
      <c r="G123" s="9"/>
      <c r="H123" s="9"/>
      <c r="I123" s="9"/>
      <c r="J123" s="9"/>
      <c r="K123" s="9"/>
      <c r="L123" s="9"/>
      <c r="M123" s="9"/>
      <c r="N123" s="9"/>
      <c r="O123" s="9"/>
      <c r="P123" s="9"/>
      <c r="Q123" s="9"/>
      <c r="R123" s="9"/>
      <c r="T123" s="9"/>
      <c r="U123" s="9"/>
      <c r="V123" s="9"/>
      <c r="W123" s="9"/>
      <c r="X123" s="9"/>
      <c r="Y123" s="9"/>
      <c r="Z123" s="9"/>
      <c r="AA123" s="9"/>
      <c r="AB123" s="9"/>
      <c r="AC123" s="9"/>
      <c r="AD123" s="9"/>
      <c r="AE123" s="9"/>
      <c r="AF123" s="9"/>
      <c r="AG123" s="9"/>
      <c r="AH123" s="9"/>
      <c r="AI123" s="9"/>
      <c r="AJ123" s="9"/>
      <c r="AK123" s="9"/>
      <c r="AL123" s="9"/>
      <c r="AM123" s="9"/>
      <c r="AN123" s="9"/>
      <c r="AO123" s="27"/>
      <c r="AP123" s="27"/>
      <c r="AQ123" s="27"/>
      <c r="AR123" s="27"/>
      <c r="AS123" s="27"/>
      <c r="AT123" s="27"/>
      <c r="AU123" s="27"/>
      <c r="AV123" s="27"/>
      <c r="AW123" s="27"/>
      <c r="AX123" s="27"/>
      <c r="AY123" s="27"/>
      <c r="AZ123" s="44"/>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E123" s="1"/>
      <c r="CF123" s="1"/>
      <c r="CG123" s="1"/>
      <c r="CH123" s="1"/>
      <c r="CI123" s="9"/>
      <c r="CJ123" s="1"/>
    </row>
    <row r="124" spans="2:94" s="11" customFormat="1" x14ac:dyDescent="0.25">
      <c r="B124" s="8"/>
      <c r="C124" s="187"/>
      <c r="D124" s="9"/>
      <c r="E124" s="9"/>
      <c r="F124" s="9"/>
      <c r="G124" s="9"/>
      <c r="H124" s="9"/>
      <c r="I124" s="9"/>
      <c r="J124" s="9"/>
      <c r="K124" s="9"/>
      <c r="L124" s="9"/>
      <c r="M124" s="9"/>
      <c r="N124" s="9"/>
      <c r="O124" s="9"/>
      <c r="P124" s="9"/>
      <c r="Q124" s="9"/>
      <c r="R124" s="9"/>
      <c r="T124" s="9"/>
      <c r="U124" s="9"/>
      <c r="V124" s="9"/>
      <c r="W124" s="9"/>
      <c r="X124" s="9"/>
      <c r="Y124" s="9"/>
      <c r="Z124" s="9"/>
      <c r="AA124" s="9"/>
      <c r="AB124" s="9"/>
      <c r="AC124" s="9"/>
      <c r="AD124" s="9"/>
      <c r="AE124" s="9"/>
      <c r="AF124" s="9"/>
      <c r="AG124" s="9"/>
      <c r="AH124" s="9"/>
      <c r="AI124" s="9"/>
      <c r="AJ124" s="9"/>
      <c r="AK124" s="9"/>
      <c r="AL124" s="9"/>
      <c r="AM124" s="9"/>
      <c r="AN124" s="9"/>
      <c r="AO124" s="27"/>
      <c r="AP124" s="27"/>
      <c r="AQ124" s="27"/>
      <c r="AR124" s="27"/>
      <c r="AS124" s="27"/>
      <c r="AT124" s="27"/>
      <c r="AU124" s="27"/>
      <c r="AV124" s="27"/>
      <c r="AW124" s="27"/>
      <c r="AX124" s="27"/>
      <c r="AY124" s="27"/>
      <c r="AZ124" s="44"/>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E124" s="1"/>
      <c r="CF124" s="1"/>
      <c r="CG124" s="1"/>
      <c r="CH124" s="1"/>
      <c r="CI124" s="9"/>
      <c r="CJ124" s="1"/>
    </row>
    <row r="125" spans="2:94" s="11" customFormat="1" x14ac:dyDescent="0.25">
      <c r="B125" s="8"/>
      <c r="C125" s="187"/>
      <c r="D125" s="9"/>
      <c r="E125" s="9"/>
      <c r="F125" s="9"/>
      <c r="G125" s="9"/>
      <c r="H125" s="9"/>
      <c r="I125" s="9"/>
      <c r="J125" s="9"/>
      <c r="K125" s="9"/>
      <c r="L125" s="9"/>
      <c r="M125" s="9"/>
      <c r="N125" s="9"/>
      <c r="O125" s="9"/>
      <c r="P125" s="9"/>
      <c r="Q125" s="9"/>
      <c r="R125" s="9"/>
      <c r="T125" s="9"/>
      <c r="U125" s="9"/>
      <c r="V125" s="9"/>
      <c r="W125" s="9"/>
      <c r="X125" s="9"/>
      <c r="Y125" s="9"/>
      <c r="Z125" s="9"/>
      <c r="AA125" s="9"/>
      <c r="AB125" s="9"/>
      <c r="AC125" s="9"/>
      <c r="AD125" s="9"/>
      <c r="AE125" s="9"/>
      <c r="AF125" s="9"/>
      <c r="AG125" s="9"/>
      <c r="AH125" s="9"/>
      <c r="AI125" s="9"/>
      <c r="AJ125" s="9"/>
      <c r="AK125" s="9"/>
      <c r="AL125" s="9"/>
      <c r="AM125" s="9"/>
      <c r="AN125" s="9"/>
      <c r="AO125" s="27"/>
      <c r="AP125" s="27"/>
      <c r="AQ125" s="27"/>
      <c r="AR125" s="27"/>
      <c r="AS125" s="27"/>
      <c r="AT125" s="27"/>
      <c r="AU125" s="27"/>
      <c r="AV125" s="27"/>
      <c r="AW125" s="27"/>
      <c r="AX125" s="27"/>
      <c r="AY125" s="27"/>
      <c r="AZ125" s="44"/>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E125" s="1"/>
      <c r="CF125" s="1"/>
      <c r="CG125" s="1"/>
      <c r="CH125" s="1"/>
      <c r="CI125" s="9"/>
      <c r="CJ125" s="1"/>
    </row>
    <row r="126" spans="2:94" s="11" customFormat="1" x14ac:dyDescent="0.25">
      <c r="B126" s="8"/>
      <c r="C126" s="187"/>
      <c r="D126" s="9"/>
      <c r="E126" s="9"/>
      <c r="F126" s="9"/>
      <c r="G126" s="9"/>
      <c r="H126" s="9"/>
      <c r="I126" s="9"/>
      <c r="J126" s="9"/>
      <c r="K126" s="9"/>
      <c r="L126" s="9"/>
      <c r="M126" s="9"/>
      <c r="N126" s="9"/>
      <c r="O126" s="9"/>
      <c r="P126" s="9"/>
      <c r="Q126" s="9"/>
      <c r="R126" s="9"/>
      <c r="T126" s="9"/>
      <c r="U126" s="9"/>
      <c r="V126" s="9"/>
      <c r="W126" s="9"/>
      <c r="X126" s="9"/>
      <c r="Y126" s="9"/>
      <c r="Z126" s="9"/>
      <c r="AA126" s="9"/>
      <c r="AB126" s="9"/>
      <c r="AC126" s="9"/>
      <c r="AD126" s="9"/>
      <c r="AE126" s="9"/>
      <c r="AF126" s="9"/>
      <c r="AG126" s="9"/>
      <c r="AH126" s="9"/>
      <c r="AI126" s="9"/>
      <c r="AJ126" s="9"/>
      <c r="AK126" s="9"/>
      <c r="AL126" s="9"/>
      <c r="AM126" s="9"/>
      <c r="AN126" s="9"/>
      <c r="AO126" s="27"/>
      <c r="AP126" s="27"/>
      <c r="AQ126" s="27"/>
      <c r="AR126" s="27"/>
      <c r="AS126" s="27"/>
      <c r="AT126" s="27"/>
      <c r="AU126" s="27"/>
      <c r="AV126" s="27"/>
      <c r="AW126" s="27"/>
      <c r="AX126" s="27"/>
      <c r="AY126" s="27"/>
      <c r="AZ126" s="44"/>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E126" s="1"/>
      <c r="CF126" s="1"/>
      <c r="CG126" s="1"/>
      <c r="CH126" s="1"/>
      <c r="CI126" s="9"/>
      <c r="CJ126" s="1"/>
    </row>
    <row r="127" spans="2:94" s="11" customFormat="1" x14ac:dyDescent="0.25">
      <c r="B127" s="8"/>
      <c r="C127" s="187"/>
      <c r="D127" s="9"/>
      <c r="E127" s="9"/>
      <c r="F127" s="9"/>
      <c r="G127" s="9"/>
      <c r="H127" s="9"/>
      <c r="I127" s="9"/>
      <c r="J127" s="9"/>
      <c r="K127" s="9"/>
      <c r="L127" s="9"/>
      <c r="M127" s="9"/>
      <c r="N127" s="9"/>
      <c r="O127" s="9"/>
      <c r="P127" s="9"/>
      <c r="Q127" s="9"/>
      <c r="R127" s="9"/>
      <c r="T127" s="9"/>
      <c r="U127" s="9"/>
      <c r="V127" s="9"/>
      <c r="W127" s="9"/>
      <c r="X127" s="9"/>
      <c r="Y127" s="9"/>
      <c r="Z127" s="9"/>
      <c r="AA127" s="9"/>
      <c r="AB127" s="9"/>
      <c r="AC127" s="9"/>
      <c r="AD127" s="9"/>
      <c r="AE127" s="9"/>
      <c r="AF127" s="9"/>
      <c r="AG127" s="9"/>
      <c r="AH127" s="9"/>
      <c r="AI127" s="9"/>
      <c r="AJ127" s="9"/>
      <c r="AK127" s="9"/>
      <c r="AL127" s="9"/>
      <c r="AM127" s="9"/>
      <c r="AN127" s="9"/>
      <c r="AO127" s="27"/>
      <c r="AP127" s="27"/>
      <c r="AQ127" s="27"/>
      <c r="AR127" s="27"/>
      <c r="AS127" s="27"/>
      <c r="AT127" s="27"/>
      <c r="AU127" s="27"/>
      <c r="AV127" s="27"/>
      <c r="AW127" s="27"/>
      <c r="AX127" s="27"/>
      <c r="AY127" s="27"/>
      <c r="AZ127" s="44"/>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E127" s="1"/>
      <c r="CF127" s="1"/>
      <c r="CG127" s="1"/>
      <c r="CH127" s="1"/>
      <c r="CI127" s="9"/>
      <c r="CJ127" s="1"/>
    </row>
    <row r="128" spans="2:94" s="11" customFormat="1" x14ac:dyDescent="0.25">
      <c r="B128" s="8"/>
      <c r="C128" s="187"/>
      <c r="D128" s="9"/>
      <c r="E128" s="9"/>
      <c r="F128" s="9"/>
      <c r="G128" s="9"/>
      <c r="H128" s="9"/>
      <c r="I128" s="9"/>
      <c r="J128" s="9"/>
      <c r="K128" s="9"/>
      <c r="L128" s="9"/>
      <c r="M128" s="9"/>
      <c r="N128" s="9"/>
      <c r="O128" s="9"/>
      <c r="P128" s="9"/>
      <c r="Q128" s="9"/>
      <c r="R128" s="9"/>
      <c r="T128" s="9"/>
      <c r="U128" s="9"/>
      <c r="V128" s="9"/>
      <c r="W128" s="9"/>
      <c r="X128" s="9"/>
      <c r="Y128" s="9"/>
      <c r="Z128" s="9"/>
      <c r="AA128" s="9"/>
      <c r="AB128" s="9"/>
      <c r="AC128" s="9"/>
      <c r="AD128" s="9"/>
      <c r="AE128" s="9"/>
      <c r="AF128" s="9"/>
      <c r="AG128" s="9"/>
      <c r="AH128" s="9"/>
      <c r="AI128" s="9"/>
      <c r="AJ128" s="9"/>
      <c r="AK128" s="9"/>
      <c r="AL128" s="9"/>
      <c r="AM128" s="9"/>
      <c r="AN128" s="9"/>
      <c r="AO128" s="27"/>
      <c r="AP128" s="27"/>
      <c r="AQ128" s="27"/>
      <c r="AR128" s="27"/>
      <c r="AS128" s="27"/>
      <c r="AT128" s="27"/>
      <c r="AU128" s="27"/>
      <c r="AV128" s="27"/>
      <c r="AW128" s="27"/>
      <c r="AX128" s="27"/>
      <c r="AY128" s="27"/>
      <c r="AZ128" s="44"/>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E128" s="1"/>
      <c r="CF128" s="1"/>
      <c r="CG128" s="1"/>
      <c r="CH128" s="1"/>
      <c r="CI128" s="9"/>
      <c r="CJ128" s="1"/>
    </row>
    <row r="129" spans="2:88" s="11" customFormat="1" x14ac:dyDescent="0.25">
      <c r="B129" s="8"/>
      <c r="C129" s="187"/>
      <c r="D129" s="9"/>
      <c r="E129" s="9"/>
      <c r="F129" s="9"/>
      <c r="G129" s="9"/>
      <c r="H129" s="9"/>
      <c r="I129" s="9"/>
      <c r="J129" s="9"/>
      <c r="K129" s="9"/>
      <c r="L129" s="9"/>
      <c r="M129" s="9"/>
      <c r="N129" s="9"/>
      <c r="O129" s="9"/>
      <c r="P129" s="9"/>
      <c r="Q129" s="9"/>
      <c r="R129" s="9"/>
      <c r="T129" s="9"/>
      <c r="U129" s="9"/>
      <c r="V129" s="9"/>
      <c r="W129" s="9"/>
      <c r="X129" s="9"/>
      <c r="Y129" s="9"/>
      <c r="Z129" s="9"/>
      <c r="AA129" s="9"/>
      <c r="AB129" s="9"/>
      <c r="AC129" s="9"/>
      <c r="AD129" s="9"/>
      <c r="AE129" s="9"/>
      <c r="AF129" s="9"/>
      <c r="AG129" s="9"/>
      <c r="AH129" s="9"/>
      <c r="AI129" s="9"/>
      <c r="AJ129" s="9"/>
      <c r="AK129" s="9"/>
      <c r="AL129" s="9"/>
      <c r="AM129" s="9"/>
      <c r="AN129" s="9"/>
      <c r="AO129" s="27"/>
      <c r="AP129" s="27"/>
      <c r="AQ129" s="27"/>
      <c r="AR129" s="27"/>
      <c r="AS129" s="27"/>
      <c r="AT129" s="27"/>
      <c r="AU129" s="27"/>
      <c r="AV129" s="27"/>
      <c r="AW129" s="27"/>
      <c r="AX129" s="27"/>
      <c r="AY129" s="27"/>
      <c r="AZ129" s="44"/>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E129" s="1"/>
      <c r="CF129" s="1"/>
      <c r="CG129" s="1"/>
      <c r="CH129" s="1"/>
      <c r="CI129" s="9"/>
      <c r="CJ129" s="1"/>
    </row>
    <row r="130" spans="2:88" s="11" customFormat="1" x14ac:dyDescent="0.25">
      <c r="B130" s="8"/>
      <c r="C130" s="187"/>
      <c r="D130" s="9"/>
      <c r="E130" s="9"/>
      <c r="F130" s="9"/>
      <c r="G130" s="9"/>
      <c r="H130" s="9"/>
      <c r="I130" s="9"/>
      <c r="J130" s="9"/>
      <c r="K130" s="9"/>
      <c r="L130" s="9"/>
      <c r="M130" s="9"/>
      <c r="N130" s="9"/>
      <c r="O130" s="9"/>
      <c r="P130" s="9"/>
      <c r="Q130" s="9"/>
      <c r="R130" s="9"/>
      <c r="T130" s="9"/>
      <c r="U130" s="9"/>
      <c r="V130" s="9"/>
      <c r="W130" s="9"/>
      <c r="X130" s="9"/>
      <c r="Y130" s="9"/>
      <c r="Z130" s="9"/>
      <c r="AA130" s="9"/>
      <c r="AB130" s="9"/>
      <c r="AC130" s="9"/>
      <c r="AD130" s="9"/>
      <c r="AE130" s="9"/>
      <c r="AF130" s="9"/>
      <c r="AG130" s="9"/>
      <c r="AH130" s="9"/>
      <c r="AI130" s="9"/>
      <c r="AJ130" s="9"/>
      <c r="AK130" s="9"/>
      <c r="AL130" s="9"/>
      <c r="AM130" s="9"/>
      <c r="AN130" s="9"/>
      <c r="AO130" s="27"/>
      <c r="AP130" s="27"/>
      <c r="AQ130" s="27"/>
      <c r="AR130" s="27"/>
      <c r="AS130" s="27"/>
      <c r="AT130" s="27"/>
      <c r="AU130" s="27"/>
      <c r="AV130" s="27"/>
      <c r="AW130" s="27"/>
      <c r="AX130" s="27"/>
      <c r="AY130" s="27"/>
      <c r="AZ130" s="44"/>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E130" s="1"/>
      <c r="CF130" s="1"/>
      <c r="CG130" s="1"/>
      <c r="CH130" s="1"/>
      <c r="CI130" s="9"/>
      <c r="CJ130" s="1"/>
    </row>
    <row r="131" spans="2:88" s="11" customFormat="1" x14ac:dyDescent="0.25">
      <c r="B131" s="8"/>
      <c r="C131" s="187"/>
      <c r="D131" s="9"/>
      <c r="E131" s="9"/>
      <c r="F131" s="9"/>
      <c r="G131" s="9"/>
      <c r="H131" s="9"/>
      <c r="I131" s="9"/>
      <c r="J131" s="9"/>
      <c r="K131" s="9"/>
      <c r="L131" s="9"/>
      <c r="M131" s="9"/>
      <c r="N131" s="9"/>
      <c r="O131" s="9"/>
      <c r="P131" s="9"/>
      <c r="Q131" s="9"/>
      <c r="R131" s="9"/>
      <c r="T131" s="9"/>
      <c r="U131" s="9"/>
      <c r="V131" s="9"/>
      <c r="W131" s="9"/>
      <c r="X131" s="9"/>
      <c r="Y131" s="9"/>
      <c r="Z131" s="9"/>
      <c r="AA131" s="9"/>
      <c r="AB131" s="9"/>
      <c r="AC131" s="9"/>
      <c r="AD131" s="9"/>
      <c r="AE131" s="9"/>
      <c r="AF131" s="9"/>
      <c r="AG131" s="9"/>
      <c r="AH131" s="9"/>
      <c r="AI131" s="9"/>
      <c r="AJ131" s="9"/>
      <c r="AK131" s="9"/>
      <c r="AL131" s="9"/>
      <c r="AM131" s="9"/>
      <c r="AN131" s="9"/>
      <c r="AO131" s="27"/>
      <c r="AP131" s="27"/>
      <c r="AQ131" s="27"/>
      <c r="AR131" s="27"/>
      <c r="AS131" s="27"/>
      <c r="AT131" s="27"/>
      <c r="AU131" s="27"/>
      <c r="AV131" s="27"/>
      <c r="AW131" s="27"/>
      <c r="AX131" s="27"/>
      <c r="AY131" s="27"/>
      <c r="AZ131" s="44"/>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E131" s="1"/>
      <c r="CF131" s="1"/>
      <c r="CG131" s="1"/>
      <c r="CH131" s="1"/>
      <c r="CI131" s="9"/>
      <c r="CJ131" s="1"/>
    </row>
    <row r="132" spans="2:88" s="11" customFormat="1" x14ac:dyDescent="0.25">
      <c r="B132" s="8"/>
      <c r="C132" s="187"/>
      <c r="D132" s="9"/>
      <c r="E132" s="9"/>
      <c r="F132" s="9"/>
      <c r="G132" s="9"/>
      <c r="H132" s="9"/>
      <c r="I132" s="9"/>
      <c r="J132" s="9"/>
      <c r="K132" s="9"/>
      <c r="L132" s="9"/>
      <c r="M132" s="9"/>
      <c r="N132" s="9"/>
      <c r="O132" s="9"/>
      <c r="P132" s="9"/>
      <c r="Q132" s="9"/>
      <c r="R132" s="9"/>
      <c r="T132" s="9"/>
      <c r="U132" s="9"/>
      <c r="V132" s="9"/>
      <c r="W132" s="9"/>
      <c r="X132" s="9"/>
      <c r="Y132" s="9"/>
      <c r="Z132" s="9"/>
      <c r="AA132" s="9"/>
      <c r="AB132" s="9"/>
      <c r="AC132" s="9"/>
      <c r="AD132" s="9"/>
      <c r="AE132" s="9"/>
      <c r="AF132" s="9"/>
      <c r="AG132" s="9"/>
      <c r="AH132" s="9"/>
      <c r="AI132" s="9"/>
      <c r="AJ132" s="9"/>
      <c r="AK132" s="9"/>
      <c r="AL132" s="9"/>
      <c r="AM132" s="9"/>
      <c r="AN132" s="9"/>
      <c r="AO132" s="27"/>
      <c r="AP132" s="27"/>
      <c r="AQ132" s="27"/>
      <c r="AR132" s="27"/>
      <c r="AS132" s="27"/>
      <c r="AT132" s="27"/>
      <c r="AU132" s="27"/>
      <c r="AV132" s="27"/>
      <c r="AW132" s="27"/>
      <c r="AX132" s="27"/>
      <c r="AY132" s="27"/>
      <c r="AZ132" s="44"/>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E132" s="1"/>
      <c r="CF132" s="1"/>
      <c r="CG132" s="1"/>
      <c r="CH132" s="1"/>
      <c r="CI132" s="9"/>
      <c r="CJ132" s="1"/>
    </row>
    <row r="133" spans="2:88" s="11" customFormat="1" x14ac:dyDescent="0.25">
      <c r="B133" s="8"/>
      <c r="C133" s="187"/>
      <c r="D133" s="9"/>
      <c r="E133" s="9"/>
      <c r="F133" s="9"/>
      <c r="G133" s="9"/>
      <c r="H133" s="9"/>
      <c r="I133" s="9"/>
      <c r="J133" s="9"/>
      <c r="K133" s="9"/>
      <c r="L133" s="9"/>
      <c r="M133" s="9"/>
      <c r="N133" s="9"/>
      <c r="O133" s="9"/>
      <c r="P133" s="9"/>
      <c r="Q133" s="9"/>
      <c r="R133" s="9"/>
      <c r="T133" s="9"/>
      <c r="U133" s="9"/>
      <c r="V133" s="9"/>
      <c r="W133" s="9"/>
      <c r="X133" s="9"/>
      <c r="Y133" s="9"/>
      <c r="Z133" s="9"/>
      <c r="AA133" s="9"/>
      <c r="AB133" s="9"/>
      <c r="AC133" s="9"/>
      <c r="AD133" s="9"/>
      <c r="AE133" s="9"/>
      <c r="AF133" s="9"/>
      <c r="AG133" s="9"/>
      <c r="AH133" s="9"/>
      <c r="AI133" s="9"/>
      <c r="AJ133" s="9"/>
      <c r="AK133" s="9"/>
      <c r="AL133" s="9"/>
      <c r="AM133" s="9"/>
      <c r="AN133" s="9"/>
      <c r="AO133" s="27"/>
      <c r="AP133" s="27"/>
      <c r="AQ133" s="27"/>
      <c r="AR133" s="27"/>
      <c r="AS133" s="27"/>
      <c r="AT133" s="27"/>
      <c r="AU133" s="27"/>
      <c r="AV133" s="27"/>
      <c r="AW133" s="27"/>
      <c r="AX133" s="27"/>
      <c r="AY133" s="27"/>
      <c r="AZ133" s="44"/>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E133" s="1"/>
      <c r="CF133" s="1"/>
      <c r="CG133" s="1"/>
      <c r="CH133" s="1"/>
      <c r="CI133" s="9"/>
      <c r="CJ133" s="1"/>
    </row>
    <row r="134" spans="2:88" s="11" customFormat="1" x14ac:dyDescent="0.25">
      <c r="B134" s="8"/>
      <c r="C134" s="187"/>
      <c r="D134" s="9"/>
      <c r="E134" s="9"/>
      <c r="F134" s="9"/>
      <c r="G134" s="9"/>
      <c r="H134" s="9"/>
      <c r="I134" s="9"/>
      <c r="J134" s="9"/>
      <c r="K134" s="9"/>
      <c r="L134" s="9"/>
      <c r="M134" s="9"/>
      <c r="N134" s="9"/>
      <c r="O134" s="9"/>
      <c r="P134" s="9"/>
      <c r="Q134" s="9"/>
      <c r="R134" s="9"/>
      <c r="T134" s="9"/>
      <c r="U134" s="9"/>
      <c r="V134" s="9"/>
      <c r="W134" s="9"/>
      <c r="X134" s="9"/>
      <c r="Y134" s="9"/>
      <c r="Z134" s="9"/>
      <c r="AA134" s="9"/>
      <c r="AB134" s="9"/>
      <c r="AC134" s="9"/>
      <c r="AD134" s="9"/>
      <c r="AE134" s="9"/>
      <c r="AF134" s="9"/>
      <c r="AG134" s="9"/>
      <c r="AH134" s="9"/>
      <c r="AI134" s="9"/>
      <c r="AJ134" s="9"/>
      <c r="AK134" s="9"/>
      <c r="AL134" s="9"/>
      <c r="AM134" s="9"/>
      <c r="AN134" s="9"/>
      <c r="AO134" s="27"/>
      <c r="AP134" s="27"/>
      <c r="AQ134" s="27"/>
      <c r="AR134" s="27"/>
      <c r="AS134" s="27"/>
      <c r="AT134" s="27"/>
      <c r="AU134" s="27"/>
      <c r="AV134" s="27"/>
      <c r="AW134" s="27"/>
      <c r="AX134" s="27"/>
      <c r="AY134" s="27"/>
      <c r="AZ134" s="44"/>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E134" s="1"/>
      <c r="CF134" s="1"/>
      <c r="CG134" s="1"/>
      <c r="CH134" s="1"/>
      <c r="CI134" s="9"/>
      <c r="CJ134" s="1"/>
    </row>
    <row r="135" spans="2:88" s="11" customFormat="1" x14ac:dyDescent="0.25">
      <c r="B135" s="8"/>
      <c r="C135" s="187"/>
      <c r="D135" s="9"/>
      <c r="E135" s="9"/>
      <c r="F135" s="9"/>
      <c r="G135" s="9"/>
      <c r="H135" s="9"/>
      <c r="I135" s="9"/>
      <c r="J135" s="9"/>
      <c r="K135" s="9"/>
      <c r="L135" s="9"/>
      <c r="M135" s="9"/>
      <c r="N135" s="9"/>
      <c r="O135" s="9"/>
      <c r="P135" s="9"/>
      <c r="Q135" s="9"/>
      <c r="R135" s="9"/>
      <c r="T135" s="9"/>
      <c r="U135" s="9"/>
      <c r="V135" s="9"/>
      <c r="W135" s="9"/>
      <c r="X135" s="9"/>
      <c r="Y135" s="9"/>
      <c r="Z135" s="9"/>
      <c r="AA135" s="9"/>
      <c r="AB135" s="9"/>
      <c r="AC135" s="9"/>
      <c r="AD135" s="9"/>
      <c r="AE135" s="9"/>
      <c r="AF135" s="9"/>
      <c r="AG135" s="9"/>
      <c r="AH135" s="9"/>
      <c r="AI135" s="9"/>
      <c r="AJ135" s="9"/>
      <c r="AK135" s="9"/>
      <c r="AL135" s="9"/>
      <c r="AM135" s="9"/>
      <c r="AN135" s="9"/>
      <c r="AO135" s="27"/>
      <c r="AP135" s="27"/>
      <c r="AQ135" s="27"/>
      <c r="AR135" s="27"/>
      <c r="AS135" s="27"/>
      <c r="AT135" s="27"/>
      <c r="AU135" s="27"/>
      <c r="AV135" s="27"/>
      <c r="AW135" s="27"/>
      <c r="AX135" s="27"/>
      <c r="AY135" s="27"/>
      <c r="AZ135" s="44"/>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E135" s="1"/>
      <c r="CF135" s="1"/>
      <c r="CG135" s="1"/>
      <c r="CH135" s="1"/>
      <c r="CI135" s="9"/>
      <c r="CJ135" s="1"/>
    </row>
    <row r="136" spans="2:88" s="11" customFormat="1" x14ac:dyDescent="0.25">
      <c r="B136" s="8"/>
      <c r="C136" s="187"/>
      <c r="D136" s="9"/>
      <c r="E136" s="9"/>
      <c r="F136" s="9"/>
      <c r="G136" s="9"/>
      <c r="H136" s="9"/>
      <c r="I136" s="9"/>
      <c r="J136" s="9"/>
      <c r="K136" s="9"/>
      <c r="L136" s="9"/>
      <c r="M136" s="9"/>
      <c r="N136" s="9"/>
      <c r="O136" s="9"/>
      <c r="P136" s="9"/>
      <c r="Q136" s="9"/>
      <c r="R136" s="9"/>
      <c r="T136" s="9"/>
      <c r="U136" s="9"/>
      <c r="V136" s="9"/>
      <c r="W136" s="9"/>
      <c r="X136" s="9"/>
      <c r="Y136" s="9"/>
      <c r="Z136" s="9"/>
      <c r="AA136" s="9"/>
      <c r="AB136" s="9"/>
      <c r="AC136" s="9"/>
      <c r="AD136" s="9"/>
      <c r="AE136" s="9"/>
      <c r="AF136" s="9"/>
      <c r="AG136" s="9"/>
      <c r="AH136" s="9"/>
      <c r="AI136" s="9"/>
      <c r="AJ136" s="9"/>
      <c r="AK136" s="9"/>
      <c r="AL136" s="9"/>
      <c r="AM136" s="9"/>
      <c r="AN136" s="9"/>
      <c r="AO136" s="27"/>
      <c r="AP136" s="27"/>
      <c r="AQ136" s="27"/>
      <c r="AR136" s="27"/>
      <c r="AS136" s="27"/>
      <c r="AT136" s="27"/>
      <c r="AU136" s="27"/>
      <c r="AV136" s="27"/>
      <c r="AW136" s="27"/>
      <c r="AX136" s="27"/>
      <c r="AY136" s="27"/>
      <c r="AZ136" s="44"/>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E136" s="1"/>
      <c r="CF136" s="1"/>
      <c r="CG136" s="1"/>
      <c r="CH136" s="1"/>
      <c r="CI136" s="9"/>
      <c r="CJ136" s="1"/>
    </row>
    <row r="137" spans="2:88" s="11" customFormat="1" x14ac:dyDescent="0.25">
      <c r="B137" s="8"/>
      <c r="C137" s="187"/>
      <c r="D137" s="9"/>
      <c r="E137" s="9"/>
      <c r="F137" s="9"/>
      <c r="G137" s="9"/>
      <c r="H137" s="9"/>
      <c r="I137" s="9"/>
      <c r="J137" s="9"/>
      <c r="K137" s="9"/>
      <c r="L137" s="9"/>
      <c r="M137" s="9"/>
      <c r="N137" s="9"/>
      <c r="O137" s="9"/>
      <c r="P137" s="9"/>
      <c r="Q137" s="9"/>
      <c r="R137" s="9"/>
      <c r="T137" s="9"/>
      <c r="U137" s="9"/>
      <c r="V137" s="9"/>
      <c r="W137" s="9"/>
      <c r="X137" s="9"/>
      <c r="Y137" s="9"/>
      <c r="Z137" s="9"/>
      <c r="AA137" s="9"/>
      <c r="AB137" s="9"/>
      <c r="AC137" s="9"/>
      <c r="AD137" s="9"/>
      <c r="AE137" s="9"/>
      <c r="AF137" s="9"/>
      <c r="AG137" s="9"/>
      <c r="AH137" s="9"/>
      <c r="AI137" s="9"/>
      <c r="AJ137" s="9"/>
      <c r="AK137" s="9"/>
      <c r="AL137" s="9"/>
      <c r="AM137" s="9"/>
      <c r="AN137" s="9"/>
      <c r="AO137" s="27"/>
      <c r="AP137" s="27"/>
      <c r="AQ137" s="27"/>
      <c r="AR137" s="27"/>
      <c r="AS137" s="27"/>
      <c r="AT137" s="27"/>
      <c r="AU137" s="27"/>
      <c r="AV137" s="27"/>
      <c r="AW137" s="27"/>
      <c r="AX137" s="27"/>
      <c r="AY137" s="27"/>
      <c r="AZ137" s="44"/>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E137" s="1"/>
      <c r="CF137" s="1"/>
      <c r="CG137" s="1"/>
      <c r="CH137" s="1"/>
      <c r="CI137" s="9"/>
      <c r="CJ137" s="1"/>
    </row>
    <row r="138" spans="2:88" s="11" customFormat="1" x14ac:dyDescent="0.25">
      <c r="B138" s="8"/>
      <c r="C138" s="187"/>
      <c r="D138" s="9"/>
      <c r="E138" s="9"/>
      <c r="F138" s="9"/>
      <c r="G138" s="9"/>
      <c r="H138" s="9"/>
      <c r="I138" s="9"/>
      <c r="J138" s="9"/>
      <c r="K138" s="9"/>
      <c r="L138" s="9"/>
      <c r="M138" s="9"/>
      <c r="N138" s="9"/>
      <c r="O138" s="9"/>
      <c r="P138" s="9"/>
      <c r="Q138" s="9"/>
      <c r="R138" s="9"/>
      <c r="T138" s="9"/>
      <c r="U138" s="9"/>
      <c r="V138" s="9"/>
      <c r="W138" s="9"/>
      <c r="X138" s="9"/>
      <c r="Y138" s="9"/>
      <c r="Z138" s="9"/>
      <c r="AA138" s="9"/>
      <c r="AB138" s="9"/>
      <c r="AC138" s="9"/>
      <c r="AD138" s="9"/>
      <c r="AE138" s="9"/>
      <c r="AF138" s="9"/>
      <c r="AG138" s="9"/>
      <c r="AH138" s="9"/>
      <c r="AI138" s="9"/>
      <c r="AJ138" s="9"/>
      <c r="AK138" s="9"/>
      <c r="AL138" s="9"/>
      <c r="AM138" s="9"/>
      <c r="AN138" s="9"/>
      <c r="AO138" s="27"/>
      <c r="AP138" s="27"/>
      <c r="AQ138" s="27"/>
      <c r="AR138" s="27"/>
      <c r="AS138" s="27"/>
      <c r="AT138" s="27"/>
      <c r="AU138" s="27"/>
      <c r="AV138" s="27"/>
      <c r="AW138" s="27"/>
      <c r="AX138" s="27"/>
      <c r="AY138" s="27"/>
      <c r="AZ138" s="44"/>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E138" s="1"/>
      <c r="CF138" s="1"/>
      <c r="CG138" s="1"/>
      <c r="CH138" s="1"/>
      <c r="CI138" s="9"/>
      <c r="CJ138" s="1"/>
    </row>
    <row r="139" spans="2:88" s="11" customFormat="1" x14ac:dyDescent="0.25">
      <c r="B139" s="8"/>
      <c r="C139" s="187"/>
      <c r="D139" s="9"/>
      <c r="E139" s="9"/>
      <c r="F139" s="9"/>
      <c r="G139" s="9"/>
      <c r="H139" s="9"/>
      <c r="I139" s="9"/>
      <c r="J139" s="9"/>
      <c r="K139" s="9"/>
      <c r="L139" s="9"/>
      <c r="M139" s="9"/>
      <c r="N139" s="9"/>
      <c r="O139" s="9"/>
      <c r="P139" s="9"/>
      <c r="Q139" s="9"/>
      <c r="R139" s="9"/>
      <c r="T139" s="9"/>
      <c r="U139" s="9"/>
      <c r="V139" s="9"/>
      <c r="W139" s="9"/>
      <c r="X139" s="9"/>
      <c r="Y139" s="9"/>
      <c r="Z139" s="9"/>
      <c r="AA139" s="9"/>
      <c r="AB139" s="9"/>
      <c r="AC139" s="9"/>
      <c r="AD139" s="9"/>
      <c r="AE139" s="9"/>
      <c r="AF139" s="9"/>
      <c r="AG139" s="9"/>
      <c r="AH139" s="9"/>
      <c r="AI139" s="9"/>
      <c r="AJ139" s="9"/>
      <c r="AK139" s="9"/>
      <c r="AL139" s="9"/>
      <c r="AM139" s="9"/>
      <c r="AN139" s="9"/>
      <c r="AO139" s="27"/>
      <c r="AP139" s="27"/>
      <c r="AQ139" s="27"/>
      <c r="AR139" s="27"/>
      <c r="AS139" s="27"/>
      <c r="AT139" s="27"/>
      <c r="AU139" s="27"/>
      <c r="AV139" s="27"/>
      <c r="AW139" s="27"/>
      <c r="AX139" s="27"/>
      <c r="AY139" s="27"/>
      <c r="AZ139" s="44"/>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E139" s="1"/>
      <c r="CF139" s="1"/>
      <c r="CG139" s="1"/>
      <c r="CH139" s="1"/>
      <c r="CI139" s="9"/>
      <c r="CJ139" s="1"/>
    </row>
    <row r="140" spans="2:88" s="11" customFormat="1" x14ac:dyDescent="0.25">
      <c r="B140" s="8"/>
      <c r="C140" s="187"/>
      <c r="D140" s="9"/>
      <c r="E140" s="9"/>
      <c r="F140" s="9"/>
      <c r="G140" s="9"/>
      <c r="H140" s="9"/>
      <c r="I140" s="9"/>
      <c r="J140" s="9"/>
      <c r="K140" s="9"/>
      <c r="L140" s="9"/>
      <c r="M140" s="9"/>
      <c r="N140" s="9"/>
      <c r="O140" s="9"/>
      <c r="P140" s="9"/>
      <c r="Q140" s="9"/>
      <c r="R140" s="9"/>
      <c r="T140" s="9"/>
      <c r="U140" s="9"/>
      <c r="V140" s="9"/>
      <c r="W140" s="9"/>
      <c r="X140" s="9"/>
      <c r="Y140" s="9"/>
      <c r="Z140" s="9"/>
      <c r="AA140" s="9"/>
      <c r="AB140" s="9"/>
      <c r="AC140" s="9"/>
      <c r="AD140" s="9"/>
      <c r="AE140" s="9"/>
      <c r="AF140" s="9"/>
      <c r="AG140" s="9"/>
      <c r="AH140" s="9"/>
      <c r="AI140" s="9"/>
      <c r="AJ140" s="9"/>
      <c r="AK140" s="9"/>
      <c r="AL140" s="9"/>
      <c r="AM140" s="9"/>
      <c r="AN140" s="9"/>
      <c r="AO140" s="27"/>
      <c r="AP140" s="27"/>
      <c r="AQ140" s="27"/>
      <c r="AR140" s="27"/>
      <c r="AS140" s="27"/>
      <c r="AT140" s="27"/>
      <c r="AU140" s="27"/>
      <c r="AV140" s="27"/>
      <c r="AW140" s="27"/>
      <c r="AX140" s="27"/>
      <c r="AY140" s="27"/>
      <c r="AZ140" s="44"/>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E140" s="1"/>
      <c r="CF140" s="1"/>
      <c r="CG140" s="1"/>
      <c r="CH140" s="1"/>
      <c r="CI140" s="9"/>
      <c r="CJ140" s="1"/>
    </row>
    <row r="141" spans="2:88" s="11" customFormat="1" x14ac:dyDescent="0.25">
      <c r="B141" s="8"/>
      <c r="C141" s="187"/>
      <c r="D141" s="9"/>
      <c r="E141" s="9"/>
      <c r="F141" s="9"/>
      <c r="G141" s="9"/>
      <c r="H141" s="9"/>
      <c r="I141" s="9"/>
      <c r="J141" s="9"/>
      <c r="K141" s="9"/>
      <c r="L141" s="9"/>
      <c r="M141" s="9"/>
      <c r="N141" s="9"/>
      <c r="O141" s="9"/>
      <c r="P141" s="9"/>
      <c r="Q141" s="9"/>
      <c r="R141" s="9"/>
      <c r="T141" s="9"/>
      <c r="U141" s="9"/>
      <c r="V141" s="9"/>
      <c r="W141" s="9"/>
      <c r="X141" s="9"/>
      <c r="Y141" s="9"/>
      <c r="Z141" s="9"/>
      <c r="AA141" s="9"/>
      <c r="AB141" s="9"/>
      <c r="AC141" s="9"/>
      <c r="AD141" s="9"/>
      <c r="AE141" s="9"/>
      <c r="AF141" s="9"/>
      <c r="AG141" s="9"/>
      <c r="AH141" s="9"/>
      <c r="AI141" s="9"/>
      <c r="AJ141" s="9"/>
      <c r="AK141" s="9"/>
      <c r="AL141" s="9"/>
      <c r="AM141" s="9"/>
      <c r="AN141" s="9"/>
      <c r="AO141" s="27"/>
      <c r="AP141" s="27"/>
      <c r="AQ141" s="27"/>
      <c r="AR141" s="27"/>
      <c r="AS141" s="27"/>
      <c r="AT141" s="27"/>
      <c r="AU141" s="27"/>
      <c r="AV141" s="27"/>
      <c r="AW141" s="27"/>
      <c r="AX141" s="27"/>
      <c r="AY141" s="27"/>
      <c r="AZ141" s="44"/>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E141" s="1"/>
      <c r="CF141" s="1"/>
      <c r="CG141" s="1"/>
      <c r="CH141" s="1"/>
      <c r="CI141" s="9"/>
      <c r="CJ141" s="1"/>
    </row>
    <row r="142" spans="2:88" s="11" customFormat="1" x14ac:dyDescent="0.25">
      <c r="B142" s="8"/>
      <c r="C142" s="187"/>
      <c r="D142" s="9"/>
      <c r="E142" s="9"/>
      <c r="F142" s="9"/>
      <c r="G142" s="9"/>
      <c r="H142" s="9"/>
      <c r="I142" s="9"/>
      <c r="J142" s="9"/>
      <c r="K142" s="9"/>
      <c r="L142" s="9"/>
      <c r="M142" s="9"/>
      <c r="N142" s="9"/>
      <c r="O142" s="9"/>
      <c r="P142" s="9"/>
      <c r="Q142" s="9"/>
      <c r="R142" s="9"/>
      <c r="T142" s="9"/>
      <c r="U142" s="9"/>
      <c r="V142" s="9"/>
      <c r="W142" s="9"/>
      <c r="X142" s="9"/>
      <c r="Y142" s="9"/>
      <c r="Z142" s="9"/>
      <c r="AA142" s="9"/>
      <c r="AB142" s="9"/>
      <c r="AC142" s="9"/>
      <c r="AD142" s="9"/>
      <c r="AE142" s="9"/>
      <c r="AF142" s="9"/>
      <c r="AG142" s="9"/>
      <c r="AH142" s="9"/>
      <c r="AI142" s="9"/>
      <c r="AJ142" s="9"/>
      <c r="AK142" s="9"/>
      <c r="AL142" s="9"/>
      <c r="AM142" s="9"/>
      <c r="AN142" s="9"/>
      <c r="AO142" s="27"/>
      <c r="AP142" s="27"/>
      <c r="AQ142" s="27"/>
      <c r="AR142" s="27"/>
      <c r="AS142" s="27"/>
      <c r="AT142" s="27"/>
      <c r="AU142" s="27"/>
      <c r="AV142" s="27"/>
      <c r="AW142" s="27"/>
      <c r="AX142" s="27"/>
      <c r="AY142" s="27"/>
      <c r="AZ142" s="44"/>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E142" s="1"/>
      <c r="CF142" s="1"/>
      <c r="CG142" s="1"/>
      <c r="CH142" s="1"/>
      <c r="CI142" s="9"/>
      <c r="CJ142" s="1"/>
    </row>
    <row r="143" spans="2:88" s="11" customFormat="1" x14ac:dyDescent="0.25">
      <c r="B143" s="8"/>
      <c r="C143" s="187"/>
      <c r="D143" s="9"/>
      <c r="E143" s="9"/>
      <c r="F143" s="9"/>
      <c r="G143" s="9"/>
      <c r="H143" s="9"/>
      <c r="I143" s="9"/>
      <c r="J143" s="9"/>
      <c r="K143" s="9"/>
      <c r="L143" s="9"/>
      <c r="M143" s="9"/>
      <c r="N143" s="9"/>
      <c r="O143" s="9"/>
      <c r="P143" s="9"/>
      <c r="Q143" s="9"/>
      <c r="R143" s="9"/>
      <c r="T143" s="9"/>
      <c r="U143" s="9"/>
      <c r="V143" s="9"/>
      <c r="W143" s="9"/>
      <c r="X143" s="9"/>
      <c r="Y143" s="9"/>
      <c r="Z143" s="9"/>
      <c r="AA143" s="9"/>
      <c r="AB143" s="9"/>
      <c r="AC143" s="9"/>
      <c r="AD143" s="9"/>
      <c r="AE143" s="9"/>
      <c r="AF143" s="9"/>
      <c r="AG143" s="9"/>
      <c r="AH143" s="9"/>
      <c r="AI143" s="9"/>
      <c r="AJ143" s="9"/>
      <c r="AK143" s="9"/>
      <c r="AL143" s="9"/>
      <c r="AM143" s="9"/>
      <c r="AN143" s="9"/>
      <c r="AO143" s="27"/>
      <c r="AP143" s="27"/>
      <c r="AQ143" s="27"/>
      <c r="AR143" s="27"/>
      <c r="AS143" s="27"/>
      <c r="AT143" s="27"/>
      <c r="AU143" s="27"/>
      <c r="AV143" s="27"/>
      <c r="AW143" s="27"/>
      <c r="AX143" s="27"/>
      <c r="AY143" s="27"/>
      <c r="AZ143" s="44"/>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E143" s="1"/>
      <c r="CF143" s="1"/>
      <c r="CG143" s="1"/>
      <c r="CH143" s="1"/>
      <c r="CI143" s="9"/>
      <c r="CJ143" s="1"/>
    </row>
    <row r="144" spans="2:88" s="11" customFormat="1" x14ac:dyDescent="0.25">
      <c r="B144" s="8"/>
      <c r="C144" s="187"/>
      <c r="D144" s="9"/>
      <c r="E144" s="9"/>
      <c r="F144" s="9"/>
      <c r="G144" s="9"/>
      <c r="H144" s="9"/>
      <c r="I144" s="9"/>
      <c r="J144" s="9"/>
      <c r="K144" s="9"/>
      <c r="L144" s="9"/>
      <c r="M144" s="9"/>
      <c r="N144" s="9"/>
      <c r="O144" s="9"/>
      <c r="P144" s="9"/>
      <c r="Q144" s="9"/>
      <c r="R144" s="9"/>
      <c r="T144" s="9"/>
      <c r="U144" s="9"/>
      <c r="V144" s="9"/>
      <c r="W144" s="9"/>
      <c r="X144" s="9"/>
      <c r="Y144" s="9"/>
      <c r="Z144" s="9"/>
      <c r="AA144" s="9"/>
      <c r="AB144" s="9"/>
      <c r="AC144" s="9"/>
      <c r="AD144" s="9"/>
      <c r="AE144" s="9"/>
      <c r="AF144" s="9"/>
      <c r="AG144" s="9"/>
      <c r="AH144" s="9"/>
      <c r="AI144" s="9"/>
      <c r="AJ144" s="9"/>
      <c r="AK144" s="9"/>
      <c r="AL144" s="9"/>
      <c r="AM144" s="9"/>
      <c r="AN144" s="9"/>
      <c r="AO144" s="27"/>
      <c r="AP144" s="27"/>
      <c r="AQ144" s="27"/>
      <c r="AR144" s="27"/>
      <c r="AS144" s="27"/>
      <c r="AT144" s="27"/>
      <c r="AU144" s="27"/>
      <c r="AV144" s="27"/>
      <c r="AW144" s="27"/>
      <c r="AX144" s="27"/>
      <c r="AY144" s="27"/>
      <c r="AZ144" s="44"/>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E144" s="1"/>
      <c r="CF144" s="1"/>
      <c r="CG144" s="1"/>
      <c r="CH144" s="1"/>
      <c r="CI144" s="9"/>
      <c r="CJ144" s="1"/>
    </row>
    <row r="145" spans="2:88" s="11" customFormat="1" x14ac:dyDescent="0.25">
      <c r="B145" s="8"/>
      <c r="C145" s="187"/>
      <c r="D145" s="9"/>
      <c r="E145" s="9"/>
      <c r="F145" s="9"/>
      <c r="G145" s="9"/>
      <c r="H145" s="9"/>
      <c r="I145" s="9"/>
      <c r="J145" s="9"/>
      <c r="K145" s="9"/>
      <c r="L145" s="9"/>
      <c r="M145" s="9"/>
      <c r="N145" s="9"/>
      <c r="O145" s="9"/>
      <c r="P145" s="9"/>
      <c r="Q145" s="9"/>
      <c r="R145" s="9"/>
      <c r="T145" s="9"/>
      <c r="U145" s="9"/>
      <c r="V145" s="9"/>
      <c r="W145" s="9"/>
      <c r="X145" s="9"/>
      <c r="Y145" s="9"/>
      <c r="Z145" s="9"/>
      <c r="AA145" s="9"/>
      <c r="AB145" s="9"/>
      <c r="AC145" s="9"/>
      <c r="AD145" s="9"/>
      <c r="AE145" s="9"/>
      <c r="AF145" s="9"/>
      <c r="AG145" s="9"/>
      <c r="AH145" s="9"/>
      <c r="AI145" s="9"/>
      <c r="AJ145" s="9"/>
      <c r="AK145" s="9"/>
      <c r="AL145" s="9"/>
      <c r="AM145" s="9"/>
      <c r="AN145" s="9"/>
      <c r="AO145" s="27"/>
      <c r="AP145" s="27"/>
      <c r="AQ145" s="27"/>
      <c r="AR145" s="27"/>
      <c r="AS145" s="27"/>
      <c r="AT145" s="27"/>
      <c r="AU145" s="27"/>
      <c r="AV145" s="27"/>
      <c r="AW145" s="27"/>
      <c r="AX145" s="27"/>
      <c r="AY145" s="27"/>
      <c r="AZ145" s="44"/>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E145" s="1"/>
      <c r="CF145" s="1"/>
      <c r="CG145" s="1"/>
      <c r="CH145" s="1"/>
      <c r="CI145" s="9"/>
      <c r="CJ145" s="1"/>
    </row>
    <row r="146" spans="2:88" s="11" customFormat="1" x14ac:dyDescent="0.25">
      <c r="B146" s="8"/>
      <c r="C146" s="187"/>
      <c r="D146" s="9"/>
      <c r="E146" s="9"/>
      <c r="F146" s="9"/>
      <c r="G146" s="9"/>
      <c r="H146" s="9"/>
      <c r="I146" s="9"/>
      <c r="J146" s="9"/>
      <c r="K146" s="9"/>
      <c r="L146" s="9"/>
      <c r="M146" s="9"/>
      <c r="N146" s="9"/>
      <c r="O146" s="9"/>
      <c r="P146" s="9"/>
      <c r="Q146" s="9"/>
      <c r="R146" s="9"/>
      <c r="T146" s="9"/>
      <c r="U146" s="9"/>
      <c r="V146" s="9"/>
      <c r="W146" s="9"/>
      <c r="X146" s="9"/>
      <c r="Y146" s="9"/>
      <c r="Z146" s="9"/>
      <c r="AA146" s="9"/>
      <c r="AB146" s="9"/>
      <c r="AC146" s="9"/>
      <c r="AD146" s="9"/>
      <c r="AE146" s="9"/>
      <c r="AF146" s="9"/>
      <c r="AG146" s="9"/>
      <c r="AH146" s="9"/>
      <c r="AI146" s="9"/>
      <c r="AJ146" s="9"/>
      <c r="AK146" s="9"/>
      <c r="AL146" s="9"/>
      <c r="AM146" s="9"/>
      <c r="AN146" s="9"/>
      <c r="AO146" s="27"/>
      <c r="AP146" s="27"/>
      <c r="AQ146" s="27"/>
      <c r="AR146" s="27"/>
      <c r="AS146" s="27"/>
      <c r="AT146" s="27"/>
      <c r="AU146" s="27"/>
      <c r="AV146" s="27"/>
      <c r="AW146" s="27"/>
      <c r="AX146" s="27"/>
      <c r="AY146" s="27"/>
      <c r="AZ146" s="44"/>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E146" s="1"/>
      <c r="CF146" s="1"/>
      <c r="CG146" s="1"/>
      <c r="CH146" s="1"/>
      <c r="CI146" s="9"/>
      <c r="CJ146" s="1"/>
    </row>
    <row r="147" spans="2:88" s="11" customFormat="1" x14ac:dyDescent="0.25">
      <c r="B147" s="8"/>
      <c r="C147" s="187"/>
      <c r="D147" s="9"/>
      <c r="E147" s="9"/>
      <c r="F147" s="9"/>
      <c r="G147" s="9"/>
      <c r="H147" s="9"/>
      <c r="I147" s="9"/>
      <c r="J147" s="9"/>
      <c r="K147" s="9"/>
      <c r="L147" s="9"/>
      <c r="M147" s="9"/>
      <c r="N147" s="9"/>
      <c r="O147" s="9"/>
      <c r="P147" s="9"/>
      <c r="Q147" s="9"/>
      <c r="R147" s="9"/>
      <c r="T147" s="9"/>
      <c r="U147" s="9"/>
      <c r="V147" s="9"/>
      <c r="W147" s="9"/>
      <c r="X147" s="9"/>
      <c r="Y147" s="9"/>
      <c r="Z147" s="9"/>
      <c r="AA147" s="9"/>
      <c r="AB147" s="9"/>
      <c r="AC147" s="9"/>
      <c r="AD147" s="9"/>
      <c r="AE147" s="9"/>
      <c r="AF147" s="9"/>
      <c r="AG147" s="9"/>
      <c r="AH147" s="9"/>
      <c r="AI147" s="9"/>
      <c r="AJ147" s="9"/>
      <c r="AK147" s="9"/>
      <c r="AL147" s="9"/>
      <c r="AM147" s="9"/>
      <c r="AN147" s="9"/>
      <c r="AO147" s="27"/>
      <c r="AP147" s="27"/>
      <c r="AQ147" s="27"/>
      <c r="AR147" s="27"/>
      <c r="AS147" s="27"/>
      <c r="AT147" s="27"/>
      <c r="AU147" s="27"/>
      <c r="AV147" s="27"/>
      <c r="AW147" s="27"/>
      <c r="AX147" s="27"/>
      <c r="AY147" s="27"/>
      <c r="AZ147" s="44"/>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E147" s="1"/>
      <c r="CF147" s="1"/>
      <c r="CG147" s="1"/>
      <c r="CH147" s="1"/>
      <c r="CI147" s="9"/>
      <c r="CJ147" s="1"/>
    </row>
    <row r="148" spans="2:88" s="11" customFormat="1" x14ac:dyDescent="0.25">
      <c r="B148" s="8"/>
      <c r="C148" s="187"/>
      <c r="D148" s="9"/>
      <c r="E148" s="9"/>
      <c r="F148" s="9"/>
      <c r="G148" s="9"/>
      <c r="H148" s="9"/>
      <c r="I148" s="9"/>
      <c r="J148" s="9"/>
      <c r="K148" s="9"/>
      <c r="L148" s="9"/>
      <c r="M148" s="9"/>
      <c r="N148" s="9"/>
      <c r="O148" s="9"/>
      <c r="P148" s="9"/>
      <c r="Q148" s="9"/>
      <c r="R148" s="9"/>
      <c r="T148" s="9"/>
      <c r="U148" s="9"/>
      <c r="V148" s="9"/>
      <c r="W148" s="9"/>
      <c r="X148" s="9"/>
      <c r="Y148" s="9"/>
      <c r="Z148" s="9"/>
      <c r="AA148" s="9"/>
      <c r="AB148" s="9"/>
      <c r="AC148" s="9"/>
      <c r="AD148" s="9"/>
      <c r="AE148" s="9"/>
      <c r="AF148" s="9"/>
      <c r="AG148" s="9"/>
      <c r="AH148" s="9"/>
      <c r="AI148" s="9"/>
      <c r="AJ148" s="9"/>
      <c r="AK148" s="9"/>
      <c r="AL148" s="9"/>
      <c r="AM148" s="9"/>
      <c r="AN148" s="9"/>
      <c r="AO148" s="27"/>
      <c r="AP148" s="27"/>
      <c r="AQ148" s="27"/>
      <c r="AR148" s="27"/>
      <c r="AS148" s="27"/>
      <c r="AT148" s="27"/>
      <c r="AU148" s="27"/>
      <c r="AV148" s="27"/>
      <c r="AW148" s="27"/>
      <c r="AX148" s="27"/>
      <c r="AY148" s="27"/>
      <c r="AZ148" s="44"/>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E148" s="1"/>
      <c r="CF148" s="1"/>
      <c r="CG148" s="1"/>
      <c r="CH148" s="1"/>
      <c r="CI148" s="9"/>
      <c r="CJ148" s="1"/>
    </row>
    <row r="149" spans="2:88" s="11" customFormat="1" x14ac:dyDescent="0.25">
      <c r="B149" s="8"/>
      <c r="C149" s="187"/>
      <c r="D149" s="9"/>
      <c r="E149" s="9"/>
      <c r="F149" s="9"/>
      <c r="G149" s="9"/>
      <c r="H149" s="9"/>
      <c r="I149" s="9"/>
      <c r="J149" s="9"/>
      <c r="K149" s="9"/>
      <c r="L149" s="9"/>
      <c r="M149" s="9"/>
      <c r="N149" s="9"/>
      <c r="O149" s="9"/>
      <c r="P149" s="9"/>
      <c r="Q149" s="9"/>
      <c r="R149" s="9"/>
      <c r="T149" s="9"/>
      <c r="U149" s="9"/>
      <c r="V149" s="9"/>
      <c r="W149" s="9"/>
      <c r="X149" s="9"/>
      <c r="Y149" s="9"/>
      <c r="Z149" s="9"/>
      <c r="AA149" s="9"/>
      <c r="AB149" s="9"/>
      <c r="AC149" s="9"/>
      <c r="AD149" s="9"/>
      <c r="AE149" s="9"/>
      <c r="AF149" s="9"/>
      <c r="AG149" s="9"/>
      <c r="AH149" s="9"/>
      <c r="AI149" s="9"/>
      <c r="AJ149" s="9"/>
      <c r="AK149" s="9"/>
      <c r="AL149" s="9"/>
      <c r="AM149" s="9"/>
      <c r="AN149" s="9"/>
      <c r="AO149" s="27"/>
      <c r="AP149" s="27"/>
      <c r="AQ149" s="27"/>
      <c r="AR149" s="27"/>
      <c r="AS149" s="27"/>
      <c r="AT149" s="27"/>
      <c r="AU149" s="27"/>
      <c r="AV149" s="27"/>
      <c r="AW149" s="27"/>
      <c r="AX149" s="27"/>
      <c r="AY149" s="27"/>
      <c r="AZ149" s="44"/>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E149" s="1"/>
      <c r="CF149" s="1"/>
      <c r="CG149" s="1"/>
      <c r="CH149" s="1"/>
      <c r="CI149" s="9"/>
      <c r="CJ149" s="1"/>
    </row>
    <row r="150" spans="2:88" s="11" customFormat="1" x14ac:dyDescent="0.25">
      <c r="B150" s="8"/>
      <c r="C150" s="187"/>
      <c r="D150" s="9"/>
      <c r="E150" s="9"/>
      <c r="F150" s="9"/>
      <c r="G150" s="9"/>
      <c r="H150" s="9"/>
      <c r="I150" s="9"/>
      <c r="J150" s="9"/>
      <c r="K150" s="9"/>
      <c r="L150" s="9"/>
      <c r="M150" s="9"/>
      <c r="N150" s="9"/>
      <c r="O150" s="9"/>
      <c r="P150" s="9"/>
      <c r="Q150" s="9"/>
      <c r="R150" s="9"/>
      <c r="T150" s="9"/>
      <c r="U150" s="9"/>
      <c r="V150" s="9"/>
      <c r="W150" s="9"/>
      <c r="X150" s="9"/>
      <c r="Y150" s="9"/>
      <c r="Z150" s="9"/>
      <c r="AA150" s="9"/>
      <c r="AB150" s="9"/>
      <c r="AC150" s="9"/>
      <c r="AD150" s="9"/>
      <c r="AE150" s="9"/>
      <c r="AF150" s="9"/>
      <c r="AG150" s="9"/>
      <c r="AH150" s="9"/>
      <c r="AI150" s="9"/>
      <c r="AJ150" s="9"/>
      <c r="AK150" s="9"/>
      <c r="AL150" s="9"/>
      <c r="AM150" s="9"/>
      <c r="AN150" s="9"/>
      <c r="AO150" s="27"/>
      <c r="AP150" s="27"/>
      <c r="AQ150" s="27"/>
      <c r="AR150" s="27"/>
      <c r="AS150" s="27"/>
      <c r="AT150" s="27"/>
      <c r="AU150" s="27"/>
      <c r="AV150" s="27"/>
      <c r="AW150" s="27"/>
      <c r="AX150" s="27"/>
      <c r="AY150" s="27"/>
      <c r="AZ150" s="44"/>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E150" s="1"/>
      <c r="CF150" s="1"/>
      <c r="CG150" s="1"/>
      <c r="CH150" s="1"/>
      <c r="CI150" s="9"/>
      <c r="CJ150" s="1"/>
    </row>
    <row r="151" spans="2:88" s="11" customFormat="1" x14ac:dyDescent="0.25">
      <c r="B151" s="8"/>
      <c r="C151" s="187"/>
      <c r="D151" s="9"/>
      <c r="E151" s="9"/>
      <c r="F151" s="9"/>
      <c r="G151" s="9"/>
      <c r="H151" s="9"/>
      <c r="I151" s="9"/>
      <c r="J151" s="9"/>
      <c r="K151" s="9"/>
      <c r="L151" s="9"/>
      <c r="M151" s="9"/>
      <c r="N151" s="9"/>
      <c r="O151" s="9"/>
      <c r="P151" s="9"/>
      <c r="Q151" s="9"/>
      <c r="R151" s="9"/>
      <c r="T151" s="9"/>
      <c r="U151" s="9"/>
      <c r="V151" s="9"/>
      <c r="W151" s="9"/>
      <c r="X151" s="9"/>
      <c r="Y151" s="9"/>
      <c r="Z151" s="9"/>
      <c r="AA151" s="9"/>
      <c r="AB151" s="9"/>
      <c r="AC151" s="9"/>
      <c r="AD151" s="9"/>
      <c r="AE151" s="9"/>
      <c r="AF151" s="9"/>
      <c r="AG151" s="9"/>
      <c r="AH151" s="9"/>
      <c r="AI151" s="9"/>
      <c r="AJ151" s="9"/>
      <c r="AK151" s="9"/>
      <c r="AL151" s="9"/>
      <c r="AM151" s="9"/>
      <c r="AN151" s="9"/>
      <c r="AO151" s="27"/>
      <c r="AP151" s="27"/>
      <c r="AQ151" s="27"/>
      <c r="AR151" s="27"/>
      <c r="AS151" s="27"/>
      <c r="AT151" s="27"/>
      <c r="AU151" s="27"/>
      <c r="AV151" s="27"/>
      <c r="AW151" s="27"/>
      <c r="AX151" s="27"/>
      <c r="AY151" s="27"/>
      <c r="AZ151" s="44"/>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E151" s="1"/>
      <c r="CF151" s="1"/>
      <c r="CG151" s="1"/>
      <c r="CH151" s="1"/>
      <c r="CI151" s="9"/>
      <c r="CJ151" s="1"/>
    </row>
    <row r="152" spans="2:88" s="11" customFormat="1" x14ac:dyDescent="0.25">
      <c r="B152" s="8"/>
      <c r="C152" s="187"/>
      <c r="D152" s="9"/>
      <c r="E152" s="9"/>
      <c r="F152" s="9"/>
      <c r="G152" s="9"/>
      <c r="H152" s="9"/>
      <c r="I152" s="9"/>
      <c r="J152" s="9"/>
      <c r="K152" s="9"/>
      <c r="L152" s="9"/>
      <c r="M152" s="9"/>
      <c r="N152" s="9"/>
      <c r="O152" s="9"/>
      <c r="P152" s="9"/>
      <c r="Q152" s="9"/>
      <c r="R152" s="9"/>
      <c r="T152" s="9"/>
      <c r="U152" s="9"/>
      <c r="V152" s="9"/>
      <c r="W152" s="9"/>
      <c r="X152" s="9"/>
      <c r="Y152" s="9"/>
      <c r="Z152" s="9"/>
      <c r="AA152" s="9"/>
      <c r="AB152" s="9"/>
      <c r="AC152" s="9"/>
      <c r="AD152" s="9"/>
      <c r="AE152" s="9"/>
      <c r="AF152" s="9"/>
      <c r="AG152" s="9"/>
      <c r="AH152" s="9"/>
      <c r="AI152" s="9"/>
      <c r="AJ152" s="9"/>
      <c r="AK152" s="9"/>
      <c r="AL152" s="9"/>
      <c r="AM152" s="9"/>
      <c r="AN152" s="9"/>
      <c r="AO152" s="27"/>
      <c r="AP152" s="27"/>
      <c r="AQ152" s="27"/>
      <c r="AR152" s="27"/>
      <c r="AS152" s="27"/>
      <c r="AT152" s="27"/>
      <c r="AU152" s="27"/>
      <c r="AV152" s="27"/>
      <c r="AW152" s="27"/>
      <c r="AX152" s="27"/>
      <c r="AY152" s="27"/>
      <c r="AZ152" s="44"/>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E152" s="1"/>
      <c r="CF152" s="1"/>
      <c r="CG152" s="1"/>
      <c r="CH152" s="1"/>
      <c r="CI152" s="9"/>
      <c r="CJ152" s="1"/>
    </row>
    <row r="153" spans="2:88" s="11" customFormat="1" x14ac:dyDescent="0.25">
      <c r="B153" s="8"/>
      <c r="C153" s="187"/>
      <c r="D153" s="9"/>
      <c r="E153" s="9"/>
      <c r="F153" s="9"/>
      <c r="G153" s="9"/>
      <c r="H153" s="9"/>
      <c r="I153" s="9"/>
      <c r="J153" s="9"/>
      <c r="K153" s="9"/>
      <c r="L153" s="9"/>
      <c r="M153" s="9"/>
      <c r="N153" s="9"/>
      <c r="O153" s="9"/>
      <c r="P153" s="9"/>
      <c r="Q153" s="9"/>
      <c r="R153" s="9"/>
      <c r="T153" s="9"/>
      <c r="U153" s="9"/>
      <c r="V153" s="9"/>
      <c r="W153" s="9"/>
      <c r="X153" s="9"/>
      <c r="Y153" s="9"/>
      <c r="Z153" s="9"/>
      <c r="AA153" s="9"/>
      <c r="AB153" s="9"/>
      <c r="AC153" s="9"/>
      <c r="AD153" s="9"/>
      <c r="AE153" s="9"/>
      <c r="AF153" s="9"/>
      <c r="AG153" s="9"/>
      <c r="AH153" s="9"/>
      <c r="AI153" s="9"/>
      <c r="AJ153" s="9"/>
      <c r="AK153" s="9"/>
      <c r="AL153" s="9"/>
      <c r="AM153" s="9"/>
      <c r="AN153" s="9"/>
      <c r="AO153" s="27"/>
      <c r="AP153" s="27"/>
      <c r="AQ153" s="27"/>
      <c r="AR153" s="27"/>
      <c r="AS153" s="27"/>
      <c r="AT153" s="27"/>
      <c r="AU153" s="27"/>
      <c r="AV153" s="27"/>
      <c r="AW153" s="27"/>
      <c r="AX153" s="27"/>
      <c r="AY153" s="27"/>
      <c r="AZ153" s="44"/>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E153" s="1"/>
      <c r="CF153" s="1"/>
      <c r="CG153" s="1"/>
      <c r="CH153" s="1"/>
      <c r="CI153" s="9"/>
      <c r="CJ153" s="1"/>
    </row>
    <row r="154" spans="2:88" s="11" customFormat="1" x14ac:dyDescent="0.25">
      <c r="B154" s="8"/>
      <c r="C154" s="187"/>
      <c r="D154" s="9"/>
      <c r="E154" s="9"/>
      <c r="F154" s="9"/>
      <c r="G154" s="9"/>
      <c r="H154" s="9"/>
      <c r="I154" s="9"/>
      <c r="J154" s="9"/>
      <c r="K154" s="9"/>
      <c r="L154" s="9"/>
      <c r="M154" s="9"/>
      <c r="N154" s="9"/>
      <c r="O154" s="9"/>
      <c r="P154" s="9"/>
      <c r="Q154" s="9"/>
      <c r="R154" s="9"/>
      <c r="T154" s="9"/>
      <c r="U154" s="9"/>
      <c r="V154" s="9"/>
      <c r="W154" s="9"/>
      <c r="X154" s="9"/>
      <c r="Y154" s="9"/>
      <c r="Z154" s="9"/>
      <c r="AA154" s="9"/>
      <c r="AB154" s="9"/>
      <c r="AC154" s="9"/>
      <c r="AD154" s="9"/>
      <c r="AE154" s="9"/>
      <c r="AF154" s="9"/>
      <c r="AG154" s="9"/>
      <c r="AH154" s="9"/>
      <c r="AI154" s="9"/>
      <c r="AJ154" s="9"/>
      <c r="AK154" s="9"/>
      <c r="AL154" s="9"/>
      <c r="AM154" s="9"/>
      <c r="AN154" s="9"/>
      <c r="AO154" s="27"/>
      <c r="AP154" s="27"/>
      <c r="AQ154" s="27"/>
      <c r="AR154" s="27"/>
      <c r="AS154" s="27"/>
      <c r="AT154" s="27"/>
      <c r="AU154" s="27"/>
      <c r="AV154" s="27"/>
      <c r="AW154" s="27"/>
      <c r="AX154" s="27"/>
      <c r="AY154" s="27"/>
      <c r="AZ154" s="44"/>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E154" s="1"/>
      <c r="CF154" s="1"/>
      <c r="CG154" s="1"/>
      <c r="CH154" s="1"/>
      <c r="CI154" s="9"/>
      <c r="CJ154" s="1"/>
    </row>
    <row r="155" spans="2:88" s="11" customFormat="1" x14ac:dyDescent="0.25">
      <c r="B155" s="8"/>
      <c r="C155" s="187"/>
      <c r="D155" s="9"/>
      <c r="E155" s="9"/>
      <c r="F155" s="9"/>
      <c r="G155" s="9"/>
      <c r="H155" s="9"/>
      <c r="I155" s="9"/>
      <c r="J155" s="9"/>
      <c r="K155" s="9"/>
      <c r="L155" s="9"/>
      <c r="M155" s="9"/>
      <c r="N155" s="9"/>
      <c r="O155" s="9"/>
      <c r="P155" s="9"/>
      <c r="Q155" s="9"/>
      <c r="R155" s="9"/>
      <c r="T155" s="9"/>
      <c r="U155" s="9"/>
      <c r="V155" s="9"/>
      <c r="W155" s="9"/>
      <c r="X155" s="9"/>
      <c r="Y155" s="9"/>
      <c r="Z155" s="9"/>
      <c r="AA155" s="9"/>
      <c r="AB155" s="9"/>
      <c r="AC155" s="9"/>
      <c r="AD155" s="9"/>
      <c r="AE155" s="9"/>
      <c r="AF155" s="9"/>
      <c r="AG155" s="9"/>
      <c r="AH155" s="9"/>
      <c r="AI155" s="9"/>
      <c r="AJ155" s="9"/>
      <c r="AK155" s="9"/>
      <c r="AL155" s="9"/>
      <c r="AM155" s="9"/>
      <c r="AN155" s="9"/>
      <c r="AO155" s="27"/>
      <c r="AP155" s="27"/>
      <c r="AQ155" s="27"/>
      <c r="AR155" s="27"/>
      <c r="AS155" s="27"/>
      <c r="AT155" s="27"/>
      <c r="AU155" s="27"/>
      <c r="AV155" s="27"/>
      <c r="AW155" s="27"/>
      <c r="AX155" s="27"/>
      <c r="AY155" s="27"/>
      <c r="AZ155" s="44"/>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E155" s="1"/>
      <c r="CF155" s="1"/>
      <c r="CG155" s="1"/>
      <c r="CH155" s="1"/>
      <c r="CI155" s="9"/>
      <c r="CJ155" s="1"/>
    </row>
    <row r="156" spans="2:88" s="11" customFormat="1" x14ac:dyDescent="0.25">
      <c r="B156" s="8"/>
      <c r="C156" s="187"/>
      <c r="D156" s="9"/>
      <c r="E156" s="9"/>
      <c r="F156" s="9"/>
      <c r="G156" s="9"/>
      <c r="H156" s="9"/>
      <c r="I156" s="9"/>
      <c r="J156" s="9"/>
      <c r="K156" s="9"/>
      <c r="L156" s="9"/>
      <c r="M156" s="9"/>
      <c r="N156" s="9"/>
      <c r="O156" s="9"/>
      <c r="P156" s="9"/>
      <c r="Q156" s="9"/>
      <c r="R156" s="9"/>
      <c r="T156" s="9"/>
      <c r="U156" s="9"/>
      <c r="V156" s="9"/>
      <c r="W156" s="9"/>
      <c r="X156" s="9"/>
      <c r="Y156" s="9"/>
      <c r="Z156" s="9"/>
      <c r="AA156" s="9"/>
      <c r="AB156" s="9"/>
      <c r="AC156" s="9"/>
      <c r="AD156" s="9"/>
      <c r="AE156" s="9"/>
      <c r="AF156" s="9"/>
      <c r="AG156" s="9"/>
      <c r="AH156" s="9"/>
      <c r="AI156" s="9"/>
      <c r="AJ156" s="9"/>
      <c r="AK156" s="9"/>
      <c r="AL156" s="9"/>
      <c r="AM156" s="9"/>
      <c r="AN156" s="9"/>
      <c r="AO156" s="27"/>
      <c r="AP156" s="27"/>
      <c r="AQ156" s="27"/>
      <c r="AR156" s="27"/>
      <c r="AS156" s="27"/>
      <c r="AT156" s="27"/>
      <c r="AU156" s="27"/>
      <c r="AV156" s="27"/>
      <c r="AW156" s="27"/>
      <c r="AX156" s="27"/>
      <c r="AY156" s="27"/>
      <c r="AZ156" s="44"/>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E156" s="1"/>
      <c r="CF156" s="1"/>
      <c r="CG156" s="1"/>
      <c r="CH156" s="1"/>
      <c r="CI156" s="9"/>
      <c r="CJ156" s="1"/>
    </row>
    <row r="157" spans="2:88" s="11" customFormat="1" x14ac:dyDescent="0.25">
      <c r="B157" s="8"/>
      <c r="C157" s="187"/>
      <c r="D157" s="9"/>
      <c r="E157" s="9"/>
      <c r="F157" s="9"/>
      <c r="G157" s="9"/>
      <c r="H157" s="9"/>
      <c r="I157" s="9"/>
      <c r="J157" s="9"/>
      <c r="K157" s="9"/>
      <c r="L157" s="9"/>
      <c r="M157" s="9"/>
      <c r="N157" s="9"/>
      <c r="O157" s="9"/>
      <c r="P157" s="9"/>
      <c r="Q157" s="9"/>
      <c r="R157" s="9"/>
      <c r="T157" s="9"/>
      <c r="U157" s="9"/>
      <c r="V157" s="9"/>
      <c r="W157" s="9"/>
      <c r="X157" s="9"/>
      <c r="Y157" s="9"/>
      <c r="Z157" s="9"/>
      <c r="AA157" s="9"/>
      <c r="AB157" s="9"/>
      <c r="AC157" s="9"/>
      <c r="AD157" s="9"/>
      <c r="AE157" s="9"/>
      <c r="AF157" s="9"/>
      <c r="AG157" s="9"/>
      <c r="AH157" s="9"/>
      <c r="AI157" s="9"/>
      <c r="AJ157" s="9"/>
      <c r="AK157" s="9"/>
      <c r="AL157" s="9"/>
      <c r="AM157" s="9"/>
      <c r="AN157" s="9"/>
      <c r="AO157" s="27"/>
      <c r="AP157" s="27"/>
      <c r="AQ157" s="27"/>
      <c r="AR157" s="27"/>
      <c r="AS157" s="27"/>
      <c r="AT157" s="27"/>
      <c r="AU157" s="27"/>
      <c r="AV157" s="27"/>
      <c r="AW157" s="27"/>
      <c r="AX157" s="27"/>
      <c r="AY157" s="27"/>
      <c r="AZ157" s="44"/>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E157" s="1"/>
      <c r="CF157" s="1"/>
      <c r="CG157" s="1"/>
      <c r="CH157" s="1"/>
      <c r="CI157" s="9"/>
      <c r="CJ157" s="1"/>
    </row>
  </sheetData>
  <mergeCells count="21">
    <mergeCell ref="A54:B54"/>
    <mergeCell ref="CJ4:CJ5"/>
    <mergeCell ref="CL4:CL5"/>
    <mergeCell ref="X4:AA4"/>
    <mergeCell ref="AC4:AG4"/>
    <mergeCell ref="AI4:AM4"/>
    <mergeCell ref="AO4:AZ4"/>
    <mergeCell ref="A4:B5"/>
    <mergeCell ref="E4:H4"/>
    <mergeCell ref="J4:M4"/>
    <mergeCell ref="O4:R4"/>
    <mergeCell ref="T4:W4"/>
    <mergeCell ref="C4:C5"/>
    <mergeCell ref="CP4:CP5"/>
    <mergeCell ref="BA4:BL4"/>
    <mergeCell ref="BM4:CC4"/>
    <mergeCell ref="CE4:CE5"/>
    <mergeCell ref="CF4:CF5"/>
    <mergeCell ref="CG4:CG5"/>
    <mergeCell ref="CH4:CH5"/>
    <mergeCell ref="CN4:CN5"/>
  </mergeCells>
  <pageMargins left="0.70866141732283472" right="0.70866141732283472" top="0.74803149606299213" bottom="0.74803149606299213" header="0.31496062992125984" footer="0.31496062992125984"/>
  <pageSetup paperSize="9" scale="8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4" zoomScale="80" zoomScaleNormal="80" workbookViewId="0">
      <selection activeCell="B39" sqref="B39"/>
    </sheetView>
  </sheetViews>
  <sheetFormatPr defaultRowHeight="15" x14ac:dyDescent="0.25"/>
  <cols>
    <col min="1" max="1" width="36.5703125" customWidth="1"/>
    <col min="2" max="2" width="16.28515625" style="159" bestFit="1" customWidth="1"/>
    <col min="3" max="3" width="36.5703125" customWidth="1"/>
    <col min="9" max="9" width="13" bestFit="1" customWidth="1"/>
  </cols>
  <sheetData>
    <row r="1" spans="1:9" x14ac:dyDescent="0.25">
      <c r="A1" s="361" t="s">
        <v>39</v>
      </c>
      <c r="B1" s="362"/>
      <c r="C1" s="362"/>
    </row>
    <row r="2" spans="1:9" x14ac:dyDescent="0.25">
      <c r="A2" s="359" t="s">
        <v>40</v>
      </c>
      <c r="B2" s="360"/>
      <c r="C2" s="360"/>
    </row>
    <row r="3" spans="1:9" x14ac:dyDescent="0.25">
      <c r="A3" s="177" t="s">
        <v>37</v>
      </c>
      <c r="B3" s="191" t="s">
        <v>41</v>
      </c>
      <c r="C3" s="178" t="s">
        <v>36</v>
      </c>
    </row>
    <row r="4" spans="1:9" x14ac:dyDescent="0.25">
      <c r="A4" s="189" t="s">
        <v>42</v>
      </c>
      <c r="B4" s="295">
        <v>355000</v>
      </c>
      <c r="C4" s="179"/>
      <c r="I4">
        <v>355000</v>
      </c>
    </row>
    <row r="5" spans="1:9" x14ac:dyDescent="0.25">
      <c r="A5" s="189" t="s">
        <v>43</v>
      </c>
      <c r="B5" s="193">
        <v>269842.5</v>
      </c>
      <c r="C5" s="180"/>
      <c r="I5">
        <v>269842.5</v>
      </c>
    </row>
    <row r="6" spans="1:9" x14ac:dyDescent="0.25">
      <c r="A6" s="189" t="s">
        <v>44</v>
      </c>
      <c r="B6" s="193">
        <v>472485.83</v>
      </c>
      <c r="C6" s="180"/>
      <c r="I6">
        <v>472485.83</v>
      </c>
    </row>
    <row r="7" spans="1:9" x14ac:dyDescent="0.25">
      <c r="B7" s="192"/>
      <c r="C7" s="180"/>
      <c r="I7">
        <v>3694180</v>
      </c>
    </row>
    <row r="8" spans="1:9" x14ac:dyDescent="0.25">
      <c r="A8" s="190" t="s">
        <v>45</v>
      </c>
      <c r="B8" s="193">
        <v>3694180</v>
      </c>
      <c r="C8" s="180"/>
      <c r="I8">
        <v>177522.5</v>
      </c>
    </row>
    <row r="9" spans="1:9" x14ac:dyDescent="0.25">
      <c r="B9" s="192"/>
      <c r="C9" s="180"/>
      <c r="I9">
        <v>88761.25</v>
      </c>
    </row>
    <row r="10" spans="1:9" x14ac:dyDescent="0.25">
      <c r="A10" s="189" t="s">
        <v>46</v>
      </c>
      <c r="B10" s="193">
        <v>355045</v>
      </c>
      <c r="C10" s="180"/>
      <c r="I10">
        <v>88761.25</v>
      </c>
    </row>
    <row r="11" spans="1:9" x14ac:dyDescent="0.25">
      <c r="B11" s="192"/>
      <c r="C11" s="180"/>
      <c r="I11">
        <v>22260</v>
      </c>
    </row>
    <row r="12" spans="1:9" x14ac:dyDescent="0.25">
      <c r="A12" s="189" t="s">
        <v>47</v>
      </c>
      <c r="B12" s="193">
        <v>22260</v>
      </c>
      <c r="C12" s="180"/>
      <c r="I12">
        <v>163090</v>
      </c>
    </row>
    <row r="13" spans="1:9" x14ac:dyDescent="0.25">
      <c r="A13" s="189" t="s">
        <v>48</v>
      </c>
      <c r="B13" s="193">
        <v>163090</v>
      </c>
      <c r="C13" s="180"/>
      <c r="I13">
        <v>35550</v>
      </c>
    </row>
    <row r="14" spans="1:9" x14ac:dyDescent="0.25">
      <c r="A14" s="189" t="s">
        <v>49</v>
      </c>
      <c r="B14" s="193">
        <v>35550</v>
      </c>
      <c r="C14" s="180"/>
      <c r="I14">
        <v>6000</v>
      </c>
    </row>
    <row r="15" spans="1:9" x14ac:dyDescent="0.25">
      <c r="A15" s="356" t="s">
        <v>50</v>
      </c>
      <c r="B15" s="194">
        <v>6000</v>
      </c>
      <c r="C15" s="180"/>
      <c r="I15">
        <v>20806</v>
      </c>
    </row>
    <row r="16" spans="1:9" x14ac:dyDescent="0.25">
      <c r="A16" s="358"/>
      <c r="B16" s="195">
        <v>20806</v>
      </c>
      <c r="C16" s="180"/>
      <c r="I16">
        <v>2033</v>
      </c>
    </row>
    <row r="17" spans="1:9" x14ac:dyDescent="0.25">
      <c r="A17" s="356" t="s">
        <v>51</v>
      </c>
      <c r="B17" s="194">
        <v>2033</v>
      </c>
      <c r="C17" s="180"/>
      <c r="I17">
        <v>8700</v>
      </c>
    </row>
    <row r="18" spans="1:9" x14ac:dyDescent="0.25">
      <c r="A18" s="358"/>
      <c r="B18" s="195">
        <v>8700</v>
      </c>
      <c r="C18" s="180"/>
      <c r="I18">
        <v>1844390.55</v>
      </c>
    </row>
    <row r="19" spans="1:9" x14ac:dyDescent="0.25">
      <c r="A19" s="356" t="s">
        <v>52</v>
      </c>
      <c r="B19" s="194">
        <v>1844390.55</v>
      </c>
      <c r="C19" s="180"/>
      <c r="I19">
        <v>1844390.55</v>
      </c>
    </row>
    <row r="20" spans="1:9" x14ac:dyDescent="0.25">
      <c r="A20" s="357"/>
      <c r="B20" s="196">
        <v>1844390.55</v>
      </c>
      <c r="C20" s="180"/>
      <c r="I20">
        <v>1844390.55</v>
      </c>
    </row>
    <row r="21" spans="1:9" x14ac:dyDescent="0.25">
      <c r="A21" s="357"/>
      <c r="B21" s="196">
        <v>1844390.55</v>
      </c>
      <c r="C21" s="180"/>
      <c r="I21">
        <v>1541636.3</v>
      </c>
    </row>
    <row r="22" spans="1:9" x14ac:dyDescent="0.25">
      <c r="A22" s="357"/>
      <c r="B22" s="196">
        <v>1541636.3</v>
      </c>
      <c r="C22" s="180"/>
      <c r="I22">
        <v>1541636.3</v>
      </c>
    </row>
    <row r="23" spans="1:9" x14ac:dyDescent="0.25">
      <c r="A23" s="357"/>
      <c r="B23" s="196">
        <v>1541636.3</v>
      </c>
      <c r="C23" s="180"/>
      <c r="I23">
        <v>1541636.3</v>
      </c>
    </row>
    <row r="24" spans="1:9" x14ac:dyDescent="0.25">
      <c r="A24" s="358"/>
      <c r="B24" s="195">
        <v>1541006.3</v>
      </c>
      <c r="C24" s="180"/>
      <c r="I24">
        <v>68150</v>
      </c>
    </row>
    <row r="25" spans="1:9" x14ac:dyDescent="0.25">
      <c r="A25" s="356" t="s">
        <v>53</v>
      </c>
      <c r="B25" s="194">
        <v>68150</v>
      </c>
      <c r="C25" s="180"/>
      <c r="I25">
        <v>68150</v>
      </c>
    </row>
    <row r="26" spans="1:9" x14ac:dyDescent="0.25">
      <c r="A26" s="357"/>
      <c r="B26" s="196">
        <v>68150</v>
      </c>
      <c r="C26" s="180"/>
      <c r="I26">
        <v>68150</v>
      </c>
    </row>
    <row r="27" spans="1:9" x14ac:dyDescent="0.25">
      <c r="A27" s="358"/>
      <c r="B27" s="195">
        <v>68150</v>
      </c>
      <c r="C27" s="180"/>
      <c r="I27">
        <v>49370</v>
      </c>
    </row>
    <row r="28" spans="1:9" x14ac:dyDescent="0.25">
      <c r="B28" s="192"/>
      <c r="C28" s="180"/>
      <c r="I28">
        <v>-50000</v>
      </c>
    </row>
    <row r="29" spans="1:9" x14ac:dyDescent="0.25">
      <c r="A29" s="188" t="s">
        <v>54</v>
      </c>
      <c r="B29" s="193">
        <v>49370</v>
      </c>
      <c r="C29" s="180"/>
    </row>
    <row r="30" spans="1:9" x14ac:dyDescent="0.25">
      <c r="B30" s="192"/>
      <c r="C30" s="180"/>
    </row>
    <row r="31" spans="1:9" x14ac:dyDescent="0.25">
      <c r="A31" s="188" t="s">
        <v>55</v>
      </c>
      <c r="B31" s="193">
        <v>249910</v>
      </c>
      <c r="C31" s="180"/>
      <c r="I31">
        <v>249910</v>
      </c>
    </row>
    <row r="32" spans="1:9" x14ac:dyDescent="0.25">
      <c r="B32" s="192"/>
      <c r="C32" s="180"/>
      <c r="I32">
        <v>154670.28</v>
      </c>
    </row>
    <row r="33" spans="1:9" x14ac:dyDescent="0.25">
      <c r="A33" s="356" t="s">
        <v>56</v>
      </c>
      <c r="B33" s="194">
        <v>154670.28</v>
      </c>
      <c r="C33" s="180"/>
      <c r="I33">
        <v>154670.28</v>
      </c>
    </row>
    <row r="34" spans="1:9" x14ac:dyDescent="0.25">
      <c r="A34" s="357"/>
      <c r="B34" s="196">
        <v>154670.28</v>
      </c>
      <c r="C34" s="180"/>
      <c r="I34">
        <v>154670.28</v>
      </c>
    </row>
    <row r="35" spans="1:9" x14ac:dyDescent="0.25">
      <c r="A35" s="358"/>
      <c r="B35" s="195">
        <v>154670.28</v>
      </c>
      <c r="C35" s="180"/>
      <c r="I35">
        <v>150000</v>
      </c>
    </row>
    <row r="36" spans="1:9" x14ac:dyDescent="0.25">
      <c r="A36" s="240"/>
      <c r="B36" s="241"/>
      <c r="C36" s="180"/>
      <c r="I36">
        <v>150000</v>
      </c>
    </row>
    <row r="37" spans="1:9" x14ac:dyDescent="0.25">
      <c r="A37" s="188" t="s">
        <v>127</v>
      </c>
      <c r="B37" s="193">
        <v>25000</v>
      </c>
      <c r="C37" s="180"/>
      <c r="I37">
        <v>150000</v>
      </c>
    </row>
    <row r="38" spans="1:9" x14ac:dyDescent="0.25">
      <c r="B38" s="192"/>
      <c r="C38" s="180"/>
    </row>
    <row r="39" spans="1:9" x14ac:dyDescent="0.25">
      <c r="A39" s="356" t="s">
        <v>131</v>
      </c>
      <c r="B39" s="194"/>
      <c r="C39" s="180" t="s">
        <v>132</v>
      </c>
    </row>
    <row r="40" spans="1:9" x14ac:dyDescent="0.25">
      <c r="A40" s="357"/>
      <c r="B40" s="196"/>
      <c r="C40" s="180" t="s">
        <v>132</v>
      </c>
    </row>
    <row r="41" spans="1:9" x14ac:dyDescent="0.25">
      <c r="A41" s="358"/>
      <c r="B41" s="195"/>
      <c r="C41" s="180" t="s">
        <v>132</v>
      </c>
    </row>
    <row r="42" spans="1:9" x14ac:dyDescent="0.25">
      <c r="B42" s="192"/>
      <c r="C42" s="180"/>
    </row>
    <row r="43" spans="1:9" x14ac:dyDescent="0.25">
      <c r="A43" t="s">
        <v>35</v>
      </c>
      <c r="B43" s="197">
        <f>SUM(B4:B41)</f>
        <v>16555183.720000001</v>
      </c>
      <c r="C43" s="181"/>
      <c r="I43">
        <f>SUM(I4:I42)</f>
        <v>16930813.719999999</v>
      </c>
    </row>
    <row r="44" spans="1:9" x14ac:dyDescent="0.25">
      <c r="A44" s="176"/>
      <c r="B44" s="192"/>
      <c r="C44" s="181"/>
      <c r="I44">
        <v>16930814</v>
      </c>
    </row>
    <row r="45" spans="1:9" x14ac:dyDescent="0.25">
      <c r="B45" s="159">
        <f>B43*0.2</f>
        <v>3311036.7440000004</v>
      </c>
      <c r="I45">
        <f>I44-I43</f>
        <v>0.2800000011920929</v>
      </c>
    </row>
    <row r="47" spans="1:9" x14ac:dyDescent="0.25">
      <c r="B47" s="159">
        <f>B43+B45</f>
        <v>19866220.464000002</v>
      </c>
    </row>
  </sheetData>
  <mergeCells count="8">
    <mergeCell ref="A39:A41"/>
    <mergeCell ref="A2:C2"/>
    <mergeCell ref="A1:C1"/>
    <mergeCell ref="A33:A35"/>
    <mergeCell ref="A25:A27"/>
    <mergeCell ref="A19:A24"/>
    <mergeCell ref="A17:A18"/>
    <mergeCell ref="A15:A16"/>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80" zoomScaleNormal="80" workbookViewId="0">
      <selection activeCell="F4" sqref="F4"/>
    </sheetView>
  </sheetViews>
  <sheetFormatPr defaultRowHeight="15" x14ac:dyDescent="0.25"/>
  <cols>
    <col min="1" max="1" width="8.7109375" style="228"/>
    <col min="2" max="2" width="31.42578125" style="228" customWidth="1"/>
    <col min="3" max="3" width="56.85546875" customWidth="1"/>
    <col min="4" max="4" width="11.28515625" bestFit="1" customWidth="1"/>
    <col min="5" max="5" width="11.5703125" bestFit="1" customWidth="1"/>
    <col min="6" max="6" width="11.140625" bestFit="1" customWidth="1"/>
    <col min="7" max="7" width="50" customWidth="1"/>
    <col min="8" max="8" width="35.28515625" customWidth="1"/>
  </cols>
  <sheetData>
    <row r="1" spans="1:8" x14ac:dyDescent="0.25">
      <c r="A1" s="224" t="s">
        <v>69</v>
      </c>
      <c r="B1" s="224" t="s">
        <v>70</v>
      </c>
      <c r="C1" s="124" t="s">
        <v>70</v>
      </c>
      <c r="D1" s="124" t="s">
        <v>71</v>
      </c>
      <c r="E1" s="124" t="s">
        <v>72</v>
      </c>
    </row>
    <row r="2" spans="1:8" ht="135" x14ac:dyDescent="0.25">
      <c r="A2" s="224">
        <v>2784</v>
      </c>
      <c r="B2" s="224" t="s">
        <v>73</v>
      </c>
      <c r="C2" s="225" t="s">
        <v>74</v>
      </c>
      <c r="D2" s="226">
        <v>1000</v>
      </c>
      <c r="E2" s="226">
        <v>1000</v>
      </c>
    </row>
    <row r="3" spans="1:8" ht="150" x14ac:dyDescent="0.25">
      <c r="A3" s="227" t="s">
        <v>75</v>
      </c>
      <c r="B3" s="224" t="s">
        <v>76</v>
      </c>
      <c r="C3" s="225" t="s">
        <v>77</v>
      </c>
      <c r="D3" s="226">
        <v>10000</v>
      </c>
      <c r="E3" s="226">
        <v>10000</v>
      </c>
    </row>
    <row r="4" spans="1:8" ht="285" x14ac:dyDescent="0.25">
      <c r="A4" s="227" t="s">
        <v>78</v>
      </c>
      <c r="B4" s="224" t="s">
        <v>79</v>
      </c>
      <c r="C4" s="225" t="s">
        <v>80</v>
      </c>
      <c r="D4" s="226">
        <v>10000</v>
      </c>
      <c r="E4" s="226">
        <v>15000</v>
      </c>
      <c r="F4" s="228">
        <v>5750</v>
      </c>
      <c r="G4" s="229" t="s">
        <v>81</v>
      </c>
    </row>
    <row r="5" spans="1:8" ht="360" x14ac:dyDescent="0.25">
      <c r="A5" s="227" t="s">
        <v>82</v>
      </c>
      <c r="B5" s="224" t="s">
        <v>83</v>
      </c>
      <c r="C5" s="225" t="s">
        <v>84</v>
      </c>
      <c r="D5" s="226"/>
      <c r="E5" s="226"/>
    </row>
    <row r="6" spans="1:8" ht="195" x14ac:dyDescent="0.25">
      <c r="A6" s="227" t="s">
        <v>85</v>
      </c>
      <c r="B6" s="224" t="s">
        <v>86</v>
      </c>
      <c r="C6" s="225" t="s">
        <v>87</v>
      </c>
      <c r="D6" s="226">
        <v>10000</v>
      </c>
      <c r="E6" s="226">
        <v>10000</v>
      </c>
      <c r="F6" s="228">
        <v>28750</v>
      </c>
      <c r="G6" s="229" t="s">
        <v>88</v>
      </c>
      <c r="H6" s="229" t="s">
        <v>89</v>
      </c>
    </row>
    <row r="7" spans="1:8" ht="120" x14ac:dyDescent="0.25">
      <c r="A7" s="227" t="s">
        <v>90</v>
      </c>
      <c r="B7" s="224" t="s">
        <v>91</v>
      </c>
      <c r="C7" s="225" t="s">
        <v>92</v>
      </c>
      <c r="D7" s="226">
        <v>10000</v>
      </c>
      <c r="E7" s="226">
        <v>10000</v>
      </c>
      <c r="F7" s="230">
        <v>10000</v>
      </c>
      <c r="G7" s="228" t="s">
        <v>93</v>
      </c>
    </row>
    <row r="8" spans="1:8" ht="120" x14ac:dyDescent="0.25">
      <c r="A8" s="227" t="s">
        <v>94</v>
      </c>
      <c r="B8" s="224" t="s">
        <v>95</v>
      </c>
      <c r="C8" s="225" t="s">
        <v>96</v>
      </c>
      <c r="D8" s="226">
        <v>10000</v>
      </c>
      <c r="E8" s="226">
        <v>10000</v>
      </c>
      <c r="F8" s="230">
        <v>10000</v>
      </c>
      <c r="G8" s="228" t="s">
        <v>97</v>
      </c>
    </row>
    <row r="9" spans="1:8" ht="360" x14ac:dyDescent="0.25">
      <c r="A9" s="227" t="s">
        <v>98</v>
      </c>
      <c r="B9" s="224" t="s">
        <v>99</v>
      </c>
      <c r="C9" s="225" t="s">
        <v>100</v>
      </c>
      <c r="D9" s="226">
        <v>20000</v>
      </c>
      <c r="E9" s="231">
        <v>30000</v>
      </c>
      <c r="F9" s="232">
        <v>50000</v>
      </c>
      <c r="G9" s="229" t="s">
        <v>101</v>
      </c>
    </row>
    <row r="10" spans="1:8" ht="195" x14ac:dyDescent="0.25">
      <c r="A10" s="227" t="s">
        <v>102</v>
      </c>
      <c r="B10" s="224" t="s">
        <v>103</v>
      </c>
      <c r="C10" s="225" t="s">
        <v>104</v>
      </c>
      <c r="D10" s="226">
        <v>5000</v>
      </c>
      <c r="E10" s="231">
        <v>15000</v>
      </c>
      <c r="F10" s="228"/>
      <c r="G10" s="129"/>
    </row>
    <row r="11" spans="1:8" ht="225" x14ac:dyDescent="0.25">
      <c r="A11" s="227" t="s">
        <v>105</v>
      </c>
      <c r="B11" s="224" t="s">
        <v>106</v>
      </c>
      <c r="C11" s="225" t="s">
        <v>107</v>
      </c>
      <c r="D11" s="226">
        <v>15000</v>
      </c>
      <c r="E11" s="231">
        <v>80000</v>
      </c>
    </row>
    <row r="12" spans="1:8" ht="135" x14ac:dyDescent="0.25">
      <c r="A12" s="227" t="s">
        <v>108</v>
      </c>
      <c r="B12" s="224" t="s">
        <v>109</v>
      </c>
      <c r="C12" s="225" t="s">
        <v>110</v>
      </c>
      <c r="D12" s="226">
        <v>5000</v>
      </c>
      <c r="E12" s="226">
        <v>15000</v>
      </c>
    </row>
    <row r="13" spans="1:8" ht="60" x14ac:dyDescent="0.25">
      <c r="A13" s="227" t="s">
        <v>111</v>
      </c>
      <c r="B13" s="224" t="s">
        <v>112</v>
      </c>
      <c r="C13" s="225" t="s">
        <v>113</v>
      </c>
      <c r="D13" s="226">
        <v>5000</v>
      </c>
      <c r="E13" s="226">
        <v>20000</v>
      </c>
      <c r="F13" s="230">
        <v>20000</v>
      </c>
      <c r="G13" s="228" t="s">
        <v>114</v>
      </c>
    </row>
    <row r="17" spans="5:5" x14ac:dyDescent="0.25">
      <c r="E17" s="233">
        <f>SUM(E2:E16)</f>
        <v>216000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3"/>
  <sheetViews>
    <sheetView zoomScale="80" zoomScaleNormal="80" workbookViewId="0">
      <selection activeCell="I18" sqref="I18"/>
    </sheetView>
  </sheetViews>
  <sheetFormatPr defaultRowHeight="15" x14ac:dyDescent="0.25"/>
  <cols>
    <col min="9" max="9" width="13.42578125" bestFit="1" customWidth="1"/>
    <col min="13" max="13" width="12.140625" bestFit="1" customWidth="1"/>
  </cols>
  <sheetData>
    <row r="3" spans="2:11" ht="14.45" customHeight="1" x14ac:dyDescent="0.25">
      <c r="B3" s="244" t="s">
        <v>60</v>
      </c>
      <c r="C3" s="244"/>
      <c r="D3" s="244"/>
      <c r="E3" s="244"/>
      <c r="F3" s="244"/>
      <c r="G3" s="244"/>
      <c r="H3" s="244"/>
      <c r="I3" s="159">
        <v>240000</v>
      </c>
      <c r="J3" s="244"/>
      <c r="K3" s="24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8"/>
  <sheetViews>
    <sheetView zoomScale="80" zoomScaleNormal="80" workbookViewId="0">
      <selection activeCell="H3" sqref="H3"/>
    </sheetView>
  </sheetViews>
  <sheetFormatPr defaultRowHeight="15" x14ac:dyDescent="0.25"/>
  <cols>
    <col min="8" max="8" width="13.42578125" bestFit="1" customWidth="1"/>
  </cols>
  <sheetData>
    <row r="3" spans="2:12" ht="14.45" customHeight="1" x14ac:dyDescent="0.25">
      <c r="B3" s="242" t="s">
        <v>133</v>
      </c>
      <c r="C3" s="242"/>
      <c r="D3" s="242"/>
      <c r="E3" s="242"/>
      <c r="F3" s="242"/>
      <c r="G3" s="242"/>
      <c r="H3" s="243">
        <v>450000</v>
      </c>
      <c r="I3" s="242"/>
      <c r="J3" s="242"/>
      <c r="K3" s="242"/>
      <c r="L3" s="242"/>
    </row>
    <row r="4" spans="2:12" x14ac:dyDescent="0.25">
      <c r="B4" s="242"/>
      <c r="C4" s="242"/>
      <c r="D4" s="242"/>
      <c r="E4" s="242"/>
      <c r="F4" s="242"/>
      <c r="G4" s="242"/>
      <c r="H4" s="242"/>
      <c r="I4" s="242"/>
      <c r="J4" s="242"/>
      <c r="K4" s="242"/>
      <c r="L4" s="242"/>
    </row>
    <row r="5" spans="2:12" x14ac:dyDescent="0.25">
      <c r="B5" s="242"/>
      <c r="C5" s="242"/>
      <c r="D5" s="242"/>
      <c r="E5" s="242"/>
      <c r="F5" s="242"/>
      <c r="G5" s="242"/>
      <c r="H5" s="242"/>
      <c r="I5" s="242"/>
      <c r="J5" s="242"/>
      <c r="K5" s="242"/>
      <c r="L5" s="242"/>
    </row>
    <row r="6" spans="2:12" x14ac:dyDescent="0.25">
      <c r="B6" s="242"/>
      <c r="C6" s="242"/>
      <c r="D6" s="242"/>
      <c r="E6" s="242"/>
      <c r="F6" s="242"/>
      <c r="G6" s="242"/>
      <c r="H6" s="242"/>
      <c r="I6" s="242"/>
      <c r="J6" s="242"/>
      <c r="K6" s="242"/>
      <c r="L6" s="242"/>
    </row>
    <row r="7" spans="2:12" x14ac:dyDescent="0.25">
      <c r="B7" s="242"/>
      <c r="C7" s="242"/>
      <c r="D7" s="242"/>
      <c r="E7" s="242"/>
      <c r="F7" s="242"/>
      <c r="G7" s="242"/>
      <c r="H7" s="242"/>
      <c r="I7" s="242"/>
      <c r="J7" s="242"/>
      <c r="K7" s="242"/>
      <c r="L7" s="242"/>
    </row>
    <row r="8" spans="2:12" x14ac:dyDescent="0.25">
      <c r="B8" s="242"/>
      <c r="C8" s="242"/>
      <c r="D8" s="242"/>
      <c r="E8" s="242"/>
      <c r="F8" s="242"/>
      <c r="G8" s="242"/>
      <c r="H8" s="242"/>
      <c r="I8" s="242"/>
      <c r="J8" s="242"/>
      <c r="K8" s="242"/>
      <c r="L8" s="24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C16" sqref="C16"/>
    </sheetView>
  </sheetViews>
  <sheetFormatPr defaultRowHeight="15" x14ac:dyDescent="0.25"/>
  <cols>
    <col min="2" max="2" width="17.42578125" bestFit="1" customWidth="1"/>
    <col min="3" max="3" width="21.28515625" customWidth="1"/>
    <col min="4" max="4" width="17.5703125" bestFit="1" customWidth="1"/>
    <col min="5" max="5" width="13.5703125" bestFit="1" customWidth="1"/>
    <col min="6" max="7" width="14.28515625" bestFit="1" customWidth="1"/>
  </cols>
  <sheetData>
    <row r="1" spans="1:8" x14ac:dyDescent="0.25">
      <c r="A1" t="s">
        <v>142</v>
      </c>
    </row>
    <row r="3" spans="1:8" ht="29.25" customHeight="1" x14ac:dyDescent="0.25">
      <c r="A3" s="363" t="s">
        <v>143</v>
      </c>
      <c r="B3" s="363"/>
      <c r="C3" s="363"/>
      <c r="D3" s="363"/>
      <c r="E3" s="363"/>
      <c r="F3" s="363"/>
      <c r="G3" s="298"/>
      <c r="H3" s="298"/>
    </row>
    <row r="5" spans="1:8" x14ac:dyDescent="0.25">
      <c r="B5" t="s">
        <v>144</v>
      </c>
      <c r="C5" s="299" t="s">
        <v>145</v>
      </c>
      <c r="D5" t="s">
        <v>146</v>
      </c>
      <c r="E5" t="s">
        <v>147</v>
      </c>
    </row>
    <row r="6" spans="1:8" ht="30" customHeight="1" x14ac:dyDescent="0.25"/>
    <row r="7" spans="1:8" x14ac:dyDescent="0.25">
      <c r="A7" t="s">
        <v>148</v>
      </c>
      <c r="B7" s="176">
        <v>-5000000</v>
      </c>
      <c r="C7" s="176"/>
      <c r="D7" s="176"/>
      <c r="E7" s="176">
        <f>B7+D7</f>
        <v>-5000000</v>
      </c>
    </row>
    <row r="8" spans="1:8" x14ac:dyDescent="0.25">
      <c r="A8" t="s">
        <v>149</v>
      </c>
      <c r="B8" s="176">
        <v>0</v>
      </c>
      <c r="C8" s="176">
        <f>'[1]Resilience options costs'!O10</f>
        <v>-500000</v>
      </c>
      <c r="D8" s="176">
        <f>C8*10</f>
        <v>-5000000</v>
      </c>
      <c r="E8" s="176">
        <f t="shared" ref="E8:E10" si="0">B8+D8</f>
        <v>-5000000</v>
      </c>
    </row>
    <row r="9" spans="1:8" x14ac:dyDescent="0.25">
      <c r="A9" t="s">
        <v>150</v>
      </c>
      <c r="B9" s="176">
        <f>'[1]Resilience options costs'!G37</f>
        <v>-1412468.0300000003</v>
      </c>
      <c r="C9" s="176">
        <f>'[1]Resilience options costs'!G35</f>
        <v>20000</v>
      </c>
      <c r="D9" s="176">
        <f>C9*10</f>
        <v>200000</v>
      </c>
      <c r="E9" s="176">
        <f t="shared" si="0"/>
        <v>-1212468.0300000003</v>
      </c>
    </row>
    <row r="10" spans="1:8" x14ac:dyDescent="0.25">
      <c r="A10" t="s">
        <v>151</v>
      </c>
      <c r="B10" s="176">
        <f>'[1]Resilience options costs'!O37</f>
        <v>164001.07999999996</v>
      </c>
      <c r="C10" s="300">
        <v>-10000</v>
      </c>
      <c r="D10" s="176">
        <f>C10*10</f>
        <v>-100000</v>
      </c>
      <c r="E10" s="176">
        <f t="shared" si="0"/>
        <v>64001.079999999958</v>
      </c>
    </row>
    <row r="13" spans="1:8" x14ac:dyDescent="0.25">
      <c r="C13" t="s">
        <v>152</v>
      </c>
    </row>
    <row r="14" spans="1:8" x14ac:dyDescent="0.25">
      <c r="C14" s="364" t="s">
        <v>153</v>
      </c>
      <c r="D14" s="364"/>
      <c r="E14" s="364"/>
      <c r="F14" s="364"/>
      <c r="G14" s="364"/>
    </row>
    <row r="15" spans="1:8" x14ac:dyDescent="0.25">
      <c r="C15" s="301" t="s">
        <v>154</v>
      </c>
    </row>
  </sheetData>
  <mergeCells count="2">
    <mergeCell ref="A3:F3"/>
    <mergeCell ref="C14:G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O62"/>
  <sheetViews>
    <sheetView topLeftCell="A40" workbookViewId="0">
      <selection activeCell="O53" sqref="O53"/>
    </sheetView>
  </sheetViews>
  <sheetFormatPr defaultRowHeight="15" x14ac:dyDescent="0.25"/>
  <cols>
    <col min="2" max="2" width="17.85546875" customWidth="1"/>
    <col min="5" max="5" width="12.7109375" bestFit="1" customWidth="1"/>
    <col min="6" max="6" width="14.85546875" bestFit="1" customWidth="1"/>
    <col min="7" max="7" width="20.5703125" customWidth="1"/>
    <col min="14" max="14" width="11.140625" bestFit="1" customWidth="1"/>
    <col min="15" max="15" width="14.42578125" bestFit="1" customWidth="1"/>
    <col min="22" max="22" width="10.42578125" bestFit="1" customWidth="1"/>
    <col min="24" max="24" width="14.85546875" bestFit="1" customWidth="1"/>
    <col min="32" max="32" width="10.42578125" bestFit="1" customWidth="1"/>
    <col min="33" max="33" width="14.42578125" style="304" bestFit="1" customWidth="1"/>
    <col min="41" max="41" width="12.28515625" style="304" bestFit="1" customWidth="1"/>
  </cols>
  <sheetData>
    <row r="2" spans="1:35" x14ac:dyDescent="0.25">
      <c r="B2" s="302" t="s">
        <v>155</v>
      </c>
      <c r="F2" s="303">
        <v>45244</v>
      </c>
    </row>
    <row r="4" spans="1:35" x14ac:dyDescent="0.25">
      <c r="G4" s="304"/>
      <c r="O4" s="304"/>
      <c r="X4" s="304"/>
    </row>
    <row r="5" spans="1:35" x14ac:dyDescent="0.25">
      <c r="B5" s="305" t="s">
        <v>156</v>
      </c>
      <c r="C5" s="306"/>
      <c r="D5" s="306"/>
      <c r="E5" s="306"/>
      <c r="F5" s="306"/>
      <c r="G5" s="307"/>
      <c r="H5" s="90"/>
      <c r="J5" s="305" t="s">
        <v>157</v>
      </c>
      <c r="K5" s="306"/>
      <c r="L5" s="306"/>
      <c r="M5" s="306"/>
      <c r="N5" s="306"/>
      <c r="O5" s="307"/>
      <c r="P5" s="90"/>
    </row>
    <row r="6" spans="1:35" x14ac:dyDescent="0.25">
      <c r="A6" s="90"/>
      <c r="B6" s="308"/>
      <c r="C6" s="90"/>
      <c r="D6" s="90"/>
      <c r="E6" s="90"/>
      <c r="F6" s="90"/>
      <c r="G6" s="309"/>
      <c r="H6" s="90"/>
      <c r="J6" s="308"/>
      <c r="K6" s="90"/>
      <c r="L6" s="90"/>
      <c r="M6" s="90"/>
      <c r="N6" s="90"/>
      <c r="O6" s="309"/>
      <c r="P6" s="90"/>
    </row>
    <row r="7" spans="1:35" ht="15.6" customHeight="1" x14ac:dyDescent="0.25">
      <c r="A7" s="90"/>
      <c r="B7" s="368" t="s">
        <v>158</v>
      </c>
      <c r="C7" s="369"/>
      <c r="D7" s="369"/>
      <c r="E7" s="369"/>
      <c r="F7" s="369"/>
      <c r="G7" s="370"/>
      <c r="H7" s="90"/>
      <c r="J7" s="371" t="s">
        <v>159</v>
      </c>
      <c r="K7" s="372"/>
      <c r="L7" s="372"/>
      <c r="M7" s="372"/>
      <c r="N7" s="372"/>
      <c r="O7" s="373"/>
      <c r="P7" s="90"/>
    </row>
    <row r="8" spans="1:35" ht="29.45" customHeight="1" x14ac:dyDescent="0.25">
      <c r="A8" s="90"/>
      <c r="B8" s="368"/>
      <c r="C8" s="369"/>
      <c r="D8" s="369"/>
      <c r="E8" s="369"/>
      <c r="F8" s="369"/>
      <c r="G8" s="370"/>
      <c r="H8" s="90"/>
      <c r="J8" s="308"/>
      <c r="K8" s="90"/>
      <c r="L8" s="90"/>
      <c r="M8" s="90"/>
      <c r="N8" s="90"/>
      <c r="O8" s="309"/>
      <c r="P8" s="90"/>
    </row>
    <row r="9" spans="1:35" x14ac:dyDescent="0.25">
      <c r="A9" s="90"/>
      <c r="B9" s="308"/>
      <c r="C9" s="90"/>
      <c r="D9" s="90"/>
      <c r="E9" s="90"/>
      <c r="F9" s="90"/>
      <c r="G9" s="309"/>
      <c r="H9" s="90"/>
      <c r="J9" s="308"/>
      <c r="K9" s="90"/>
      <c r="L9" s="90"/>
      <c r="M9" s="90"/>
      <c r="N9" s="90"/>
      <c r="O9" s="309"/>
      <c r="P9" s="90"/>
    </row>
    <row r="10" spans="1:35" x14ac:dyDescent="0.25">
      <c r="A10" s="90"/>
      <c r="B10" s="374" t="s">
        <v>160</v>
      </c>
      <c r="C10" s="375"/>
      <c r="D10" s="375"/>
      <c r="E10" s="375"/>
      <c r="F10" s="375"/>
      <c r="G10" s="376"/>
      <c r="H10" s="90"/>
      <c r="J10" s="371" t="s">
        <v>161</v>
      </c>
      <c r="K10" s="372"/>
      <c r="L10" s="372"/>
      <c r="M10" s="372"/>
      <c r="N10" s="310"/>
      <c r="O10" s="311">
        <v>-500000</v>
      </c>
      <c r="P10" s="90"/>
    </row>
    <row r="11" spans="1:35" x14ac:dyDescent="0.25">
      <c r="B11" s="374"/>
      <c r="C11" s="375"/>
      <c r="D11" s="375"/>
      <c r="E11" s="375"/>
      <c r="F11" s="375"/>
      <c r="G11" s="376"/>
      <c r="H11" s="90"/>
      <c r="J11" s="308"/>
      <c r="K11" s="90"/>
      <c r="L11" s="90"/>
      <c r="M11" s="90"/>
      <c r="N11" s="90"/>
      <c r="O11" s="309"/>
      <c r="P11" s="90"/>
    </row>
    <row r="12" spans="1:35" x14ac:dyDescent="0.25">
      <c r="B12" s="308"/>
      <c r="C12" s="90"/>
      <c r="D12" s="90"/>
      <c r="E12" s="90"/>
      <c r="F12" s="90"/>
      <c r="G12" s="309"/>
      <c r="H12" s="90"/>
      <c r="J12" s="308" t="s">
        <v>162</v>
      </c>
      <c r="K12" s="90"/>
      <c r="L12" s="90"/>
      <c r="M12" s="90"/>
      <c r="N12" s="90"/>
      <c r="O12" s="309">
        <v>552550</v>
      </c>
      <c r="P12" s="90"/>
    </row>
    <row r="13" spans="1:35" x14ac:dyDescent="0.25">
      <c r="B13" s="312"/>
      <c r="C13" s="313"/>
      <c r="D13" s="313"/>
      <c r="E13" s="313"/>
      <c r="F13" s="313"/>
      <c r="G13" s="314"/>
      <c r="H13" s="90"/>
      <c r="J13" s="312" t="s">
        <v>163</v>
      </c>
      <c r="K13" s="313"/>
      <c r="L13" s="313"/>
      <c r="M13" s="313"/>
      <c r="N13" s="313"/>
      <c r="O13" s="314">
        <v>-450000</v>
      </c>
      <c r="P13" s="90"/>
    </row>
    <row r="14" spans="1:35" x14ac:dyDescent="0.25">
      <c r="B14" s="315"/>
      <c r="C14" s="315"/>
      <c r="D14" s="315"/>
      <c r="E14" s="315"/>
      <c r="F14" s="315"/>
      <c r="G14" s="316"/>
      <c r="H14" s="90"/>
      <c r="J14" s="315"/>
      <c r="K14" s="315"/>
      <c r="L14" s="315"/>
      <c r="M14" s="315"/>
      <c r="N14" s="315"/>
      <c r="O14" s="316"/>
      <c r="P14" s="90"/>
    </row>
    <row r="15" spans="1:35" x14ac:dyDescent="0.25">
      <c r="AA15" s="90"/>
      <c r="AI15" s="90"/>
    </row>
    <row r="16" spans="1:35" x14ac:dyDescent="0.25">
      <c r="B16" s="305" t="s">
        <v>164</v>
      </c>
      <c r="C16" s="306"/>
      <c r="D16" s="306"/>
      <c r="E16" s="306"/>
      <c r="F16" s="306"/>
      <c r="G16" s="307"/>
      <c r="H16" s="90"/>
      <c r="J16" s="305" t="s">
        <v>165</v>
      </c>
      <c r="K16" s="306"/>
      <c r="L16" s="306"/>
      <c r="M16" s="306"/>
      <c r="N16" s="306"/>
      <c r="O16" s="307"/>
      <c r="AA16" s="90"/>
      <c r="AI16" s="90"/>
    </row>
    <row r="17" spans="2:35" x14ac:dyDescent="0.25">
      <c r="B17" s="308"/>
      <c r="C17" s="90"/>
      <c r="D17" s="90"/>
      <c r="E17" s="90"/>
      <c r="F17" s="90"/>
      <c r="G17" s="309"/>
      <c r="H17" s="90"/>
      <c r="J17" s="308"/>
      <c r="K17" s="90"/>
      <c r="L17" s="90"/>
      <c r="M17" s="90"/>
      <c r="N17" s="90"/>
      <c r="O17" s="309"/>
      <c r="AA17" s="90"/>
      <c r="AI17" s="90"/>
    </row>
    <row r="18" spans="2:35" x14ac:dyDescent="0.25">
      <c r="B18" s="308" t="s">
        <v>166</v>
      </c>
      <c r="C18" s="90"/>
      <c r="D18" s="90"/>
      <c r="E18" s="316">
        <v>494958.65</v>
      </c>
      <c r="F18" s="90"/>
      <c r="G18" s="309">
        <v>441647.03</v>
      </c>
      <c r="H18" s="90"/>
      <c r="J18" s="308" t="s">
        <v>167</v>
      </c>
      <c r="K18" s="90"/>
      <c r="L18" s="90"/>
      <c r="M18" s="90"/>
      <c r="N18" s="90"/>
      <c r="O18" s="309">
        <v>605942.06999999995</v>
      </c>
      <c r="AA18" s="90"/>
      <c r="AI18" s="90"/>
    </row>
    <row r="19" spans="2:35" x14ac:dyDescent="0.25">
      <c r="B19" s="308"/>
      <c r="C19" s="90"/>
      <c r="D19" s="90"/>
      <c r="E19" s="90"/>
      <c r="F19" s="90"/>
      <c r="G19" s="309"/>
      <c r="H19" s="90"/>
      <c r="J19" s="308"/>
      <c r="K19" s="90"/>
      <c r="L19" s="90"/>
      <c r="M19" s="90"/>
      <c r="N19" s="90"/>
      <c r="O19" s="309"/>
      <c r="AA19" s="90"/>
      <c r="AI19" s="90"/>
    </row>
    <row r="20" spans="2:35" x14ac:dyDescent="0.25">
      <c r="B20" s="308" t="s">
        <v>168</v>
      </c>
      <c r="C20" s="90"/>
      <c r="D20" s="90"/>
      <c r="E20" s="90"/>
      <c r="F20" s="90"/>
      <c r="G20" s="309"/>
      <c r="H20" s="90"/>
      <c r="J20" s="308"/>
      <c r="K20" s="90"/>
      <c r="L20" s="90"/>
      <c r="M20" s="90"/>
      <c r="N20" s="90"/>
      <c r="O20" s="309"/>
      <c r="AA20" s="90"/>
      <c r="AI20" s="90"/>
    </row>
    <row r="21" spans="2:35" x14ac:dyDescent="0.25">
      <c r="B21" s="308"/>
      <c r="C21" s="90"/>
      <c r="D21" s="90"/>
      <c r="E21" s="90"/>
      <c r="F21" s="90"/>
      <c r="G21" s="309"/>
      <c r="H21" s="90"/>
      <c r="J21" s="308"/>
      <c r="K21" s="90"/>
      <c r="L21" s="90"/>
      <c r="M21" s="90"/>
      <c r="N21" s="90"/>
      <c r="O21" s="309"/>
      <c r="AA21" s="90"/>
      <c r="AI21" s="90"/>
    </row>
    <row r="22" spans="2:35" x14ac:dyDescent="0.25">
      <c r="B22" s="308" t="s">
        <v>169</v>
      </c>
      <c r="C22" s="90"/>
      <c r="D22" s="90"/>
      <c r="E22" s="317">
        <v>2112663.04</v>
      </c>
      <c r="F22" s="90"/>
      <c r="G22" s="318">
        <v>3391991</v>
      </c>
      <c r="H22" s="90"/>
      <c r="J22" s="308"/>
      <c r="K22" s="90"/>
      <c r="L22" s="90"/>
      <c r="M22" s="90"/>
      <c r="N22" s="90"/>
      <c r="O22" s="309"/>
      <c r="AA22" s="90"/>
      <c r="AI22" s="90"/>
    </row>
    <row r="23" spans="2:35" x14ac:dyDescent="0.25">
      <c r="B23" s="371" t="s">
        <v>170</v>
      </c>
      <c r="C23" s="372"/>
      <c r="D23" s="90"/>
      <c r="E23" s="317">
        <v>4774550.7</v>
      </c>
      <c r="F23" s="90"/>
      <c r="G23" s="319">
        <v>4959888.7</v>
      </c>
      <c r="H23" s="90"/>
      <c r="J23" s="308"/>
      <c r="K23" s="90"/>
      <c r="L23" s="90"/>
      <c r="M23" s="90"/>
      <c r="N23" s="90"/>
      <c r="O23" s="309"/>
      <c r="AA23" s="90"/>
      <c r="AI23" s="90"/>
    </row>
    <row r="24" spans="2:35" x14ac:dyDescent="0.25">
      <c r="B24" s="308"/>
      <c r="C24" s="90"/>
      <c r="D24" s="90"/>
      <c r="E24" s="90"/>
      <c r="F24" s="90"/>
      <c r="G24" s="309"/>
      <c r="H24" s="90"/>
      <c r="J24" s="308"/>
      <c r="K24" s="90"/>
      <c r="L24" s="90"/>
      <c r="M24" s="90"/>
      <c r="N24" s="90"/>
      <c r="O24" s="309"/>
      <c r="AA24" s="90"/>
      <c r="AI24" s="90"/>
    </row>
    <row r="25" spans="2:35" x14ac:dyDescent="0.25">
      <c r="B25" s="308"/>
      <c r="C25" s="90"/>
      <c r="D25" s="90"/>
      <c r="E25" s="90"/>
      <c r="F25" s="90"/>
      <c r="G25" s="309"/>
      <c r="H25" s="90"/>
      <c r="J25" s="308"/>
      <c r="K25" s="90"/>
      <c r="L25" s="90"/>
      <c r="M25" s="90"/>
      <c r="N25" s="90"/>
      <c r="O25" s="309"/>
      <c r="AA25" s="90"/>
      <c r="AI25" s="90"/>
    </row>
    <row r="26" spans="2:35" x14ac:dyDescent="0.25">
      <c r="B26" s="308"/>
      <c r="C26" s="90"/>
      <c r="D26" s="90"/>
      <c r="E26" s="90"/>
      <c r="F26" s="90"/>
      <c r="G26" s="309"/>
      <c r="H26" s="90"/>
      <c r="J26" s="308"/>
      <c r="K26" s="90"/>
      <c r="L26" s="90"/>
      <c r="M26" s="90"/>
      <c r="N26" s="90"/>
      <c r="O26" s="309"/>
      <c r="AA26" s="90"/>
      <c r="AI26" s="90"/>
    </row>
    <row r="27" spans="2:35" x14ac:dyDescent="0.25">
      <c r="B27" s="308" t="s">
        <v>171</v>
      </c>
      <c r="C27" s="90"/>
      <c r="D27" s="90"/>
      <c r="E27" s="90"/>
      <c r="F27" s="90"/>
      <c r="G27" s="309">
        <f>G18+G22</f>
        <v>3833638.0300000003</v>
      </c>
      <c r="H27" s="90"/>
      <c r="J27" s="308"/>
      <c r="K27" s="90"/>
      <c r="L27" s="90"/>
      <c r="M27" s="90"/>
      <c r="N27" s="90"/>
      <c r="O27" s="309"/>
      <c r="AA27" s="90"/>
      <c r="AI27" s="90"/>
    </row>
    <row r="28" spans="2:35" x14ac:dyDescent="0.25">
      <c r="B28" s="308"/>
      <c r="C28" s="90"/>
      <c r="D28" s="90"/>
      <c r="E28" s="90"/>
      <c r="F28" s="90"/>
      <c r="G28" s="309"/>
      <c r="H28" s="90"/>
      <c r="J28" s="308"/>
      <c r="K28" s="90"/>
      <c r="L28" s="90"/>
      <c r="M28" s="90"/>
      <c r="N28" s="90"/>
      <c r="O28" s="309"/>
      <c r="AA28" s="90"/>
      <c r="AI28" s="90"/>
    </row>
    <row r="29" spans="2:35" x14ac:dyDescent="0.25">
      <c r="B29" s="308" t="s">
        <v>172</v>
      </c>
      <c r="C29" s="90"/>
      <c r="D29" s="90"/>
      <c r="E29" s="90"/>
      <c r="F29" s="90"/>
      <c r="G29" s="309">
        <v>1868620</v>
      </c>
      <c r="H29" s="90"/>
      <c r="J29" s="308"/>
      <c r="K29" s="90"/>
      <c r="L29" s="90"/>
      <c r="M29" s="90"/>
      <c r="N29" s="90"/>
      <c r="O29" s="309"/>
      <c r="AA29" s="90"/>
      <c r="AI29" s="90"/>
    </row>
    <row r="30" spans="2:35" x14ac:dyDescent="0.25">
      <c r="B30" s="308"/>
      <c r="C30" s="90"/>
      <c r="D30" s="90"/>
      <c r="E30" s="90"/>
      <c r="F30" s="90"/>
      <c r="G30" s="309"/>
      <c r="H30" s="90"/>
      <c r="J30" s="308"/>
      <c r="K30" s="90"/>
      <c r="L30" s="90"/>
      <c r="M30" s="90"/>
      <c r="N30" s="90"/>
      <c r="O30" s="309"/>
      <c r="AA30" s="90"/>
      <c r="AI30" s="90"/>
    </row>
    <row r="31" spans="2:35" x14ac:dyDescent="0.25">
      <c r="B31" s="308" t="s">
        <v>140</v>
      </c>
      <c r="C31" s="90"/>
      <c r="D31" s="90"/>
      <c r="E31" s="90"/>
      <c r="F31" s="90"/>
      <c r="G31" s="320">
        <f>G29-G27</f>
        <v>-1965018.0300000003</v>
      </c>
      <c r="H31" s="90"/>
      <c r="J31" s="308"/>
      <c r="K31" s="90"/>
      <c r="L31" s="90"/>
      <c r="M31" s="90"/>
      <c r="N31" s="90"/>
      <c r="O31" s="309">
        <f>SUM(O17:O21)</f>
        <v>605942.06999999995</v>
      </c>
      <c r="AA31" s="90"/>
      <c r="AI31" s="90"/>
    </row>
    <row r="32" spans="2:35" x14ac:dyDescent="0.25">
      <c r="B32" s="308"/>
      <c r="C32" s="90"/>
      <c r="D32" s="90"/>
      <c r="E32" s="90"/>
      <c r="F32" s="90"/>
      <c r="G32" s="309"/>
      <c r="H32" s="90"/>
      <c r="J32" s="308"/>
      <c r="K32" s="90"/>
      <c r="L32" s="90"/>
      <c r="M32" s="90"/>
      <c r="N32" s="90"/>
      <c r="O32" s="309"/>
      <c r="AA32" s="90"/>
      <c r="AI32" s="90"/>
    </row>
    <row r="33" spans="2:35" x14ac:dyDescent="0.25">
      <c r="B33" s="308"/>
      <c r="C33" s="90"/>
      <c r="D33" s="90"/>
      <c r="E33" s="90"/>
      <c r="F33" s="90"/>
      <c r="G33" s="309"/>
      <c r="H33" s="90"/>
      <c r="J33" s="308"/>
      <c r="K33" s="90"/>
      <c r="L33" s="90"/>
      <c r="M33" s="90"/>
      <c r="N33" s="90"/>
      <c r="O33" s="309"/>
      <c r="AA33" s="90"/>
      <c r="AI33" s="90"/>
    </row>
    <row r="34" spans="2:35" x14ac:dyDescent="0.25">
      <c r="B34" s="308" t="s">
        <v>163</v>
      </c>
      <c r="C34" s="90"/>
      <c r="D34" s="90"/>
      <c r="E34" s="90"/>
      <c r="F34" s="90"/>
      <c r="G34" s="309">
        <v>552550</v>
      </c>
      <c r="H34" s="90"/>
      <c r="J34" s="308" t="s">
        <v>163</v>
      </c>
      <c r="K34" s="90"/>
      <c r="L34" s="90"/>
      <c r="M34" s="90"/>
      <c r="N34" s="90"/>
      <c r="O34" s="309">
        <v>552550</v>
      </c>
      <c r="AA34" s="90"/>
      <c r="AI34" s="90"/>
    </row>
    <row r="35" spans="2:35" ht="30" customHeight="1" x14ac:dyDescent="0.25">
      <c r="B35" s="377" t="s">
        <v>173</v>
      </c>
      <c r="C35" s="378"/>
      <c r="D35" s="378"/>
      <c r="E35" s="378"/>
      <c r="F35" s="378"/>
      <c r="G35" s="321">
        <v>20000</v>
      </c>
      <c r="H35" s="90"/>
      <c r="J35" s="374" t="s">
        <v>174</v>
      </c>
      <c r="K35" s="375"/>
      <c r="L35" s="375"/>
      <c r="M35" s="375"/>
      <c r="N35" s="375"/>
      <c r="O35" s="309">
        <f>O55</f>
        <v>217393.14999999991</v>
      </c>
      <c r="AA35" s="90"/>
      <c r="AI35" s="90"/>
    </row>
    <row r="36" spans="2:35" x14ac:dyDescent="0.25">
      <c r="B36" s="322"/>
      <c r="C36" s="315"/>
      <c r="D36" s="315"/>
      <c r="E36" s="315"/>
      <c r="F36" s="315"/>
      <c r="G36" s="309"/>
      <c r="H36" s="90"/>
      <c r="J36" s="323"/>
      <c r="K36" s="324"/>
      <c r="L36" s="324"/>
      <c r="M36" s="324"/>
      <c r="N36" s="324"/>
      <c r="O36" s="309">
        <f>SUM(O34:O35)</f>
        <v>769943.14999999991</v>
      </c>
      <c r="AA36" s="90"/>
      <c r="AI36" s="90"/>
    </row>
    <row r="37" spans="2:35" x14ac:dyDescent="0.25">
      <c r="B37" s="312" t="s">
        <v>23</v>
      </c>
      <c r="C37" s="313"/>
      <c r="D37" s="313"/>
      <c r="E37" s="313"/>
      <c r="F37" s="313"/>
      <c r="G37" s="325">
        <f>G34+G31</f>
        <v>-1412468.0300000003</v>
      </c>
      <c r="H37" s="90"/>
      <c r="J37" s="312"/>
      <c r="K37" s="313"/>
      <c r="L37" s="313"/>
      <c r="M37" s="313"/>
      <c r="N37" s="313"/>
      <c r="O37" s="314">
        <f>O36-O31</f>
        <v>164001.07999999996</v>
      </c>
      <c r="AA37" s="90"/>
      <c r="AI37" s="90"/>
    </row>
    <row r="38" spans="2:35" x14ac:dyDescent="0.25">
      <c r="G38" s="90"/>
      <c r="H38" s="90"/>
      <c r="O38" s="304"/>
      <c r="AA38" s="90"/>
      <c r="AI38" s="90"/>
    </row>
    <row r="39" spans="2:35" x14ac:dyDescent="0.25">
      <c r="J39" s="90"/>
      <c r="K39" s="90"/>
      <c r="L39" s="90"/>
      <c r="M39" s="90"/>
      <c r="N39" s="90"/>
      <c r="O39" s="316"/>
      <c r="P39" s="90"/>
    </row>
    <row r="40" spans="2:35" x14ac:dyDescent="0.25">
      <c r="J40" s="365" t="s">
        <v>175</v>
      </c>
      <c r="K40" s="366"/>
      <c r="L40" s="366"/>
      <c r="M40" s="366"/>
      <c r="N40" s="366"/>
      <c r="O40" s="367"/>
      <c r="P40" s="90"/>
    </row>
    <row r="41" spans="2:35" x14ac:dyDescent="0.25">
      <c r="J41" s="308"/>
      <c r="K41" s="90"/>
      <c r="L41" s="90"/>
      <c r="M41" s="90"/>
      <c r="N41" s="90"/>
      <c r="O41" s="309"/>
      <c r="P41" s="90"/>
    </row>
    <row r="42" spans="2:35" x14ac:dyDescent="0.25">
      <c r="J42" s="308" t="s">
        <v>166</v>
      </c>
      <c r="K42" s="90"/>
      <c r="L42" s="90"/>
      <c r="M42" s="90"/>
      <c r="N42" s="316">
        <v>494958.65</v>
      </c>
      <c r="O42" s="309">
        <v>441647.03</v>
      </c>
      <c r="P42" s="90"/>
    </row>
    <row r="43" spans="2:35" x14ac:dyDescent="0.25">
      <c r="J43" s="308"/>
      <c r="K43" s="90"/>
      <c r="L43" s="90"/>
      <c r="M43" s="90"/>
      <c r="N43" s="90"/>
      <c r="O43" s="309"/>
      <c r="P43" s="90"/>
    </row>
    <row r="44" spans="2:35" x14ac:dyDescent="0.25">
      <c r="J44" s="308" t="s">
        <v>168</v>
      </c>
      <c r="K44" s="90"/>
      <c r="L44" s="90"/>
      <c r="M44" s="90"/>
      <c r="N44" s="90"/>
      <c r="O44" s="309"/>
      <c r="P44" s="90"/>
    </row>
    <row r="45" spans="2:35" x14ac:dyDescent="0.25">
      <c r="J45" s="308"/>
      <c r="K45" s="90"/>
      <c r="L45" s="90"/>
      <c r="M45" s="90"/>
      <c r="N45" s="90"/>
      <c r="O45" s="309"/>
      <c r="P45" s="90"/>
    </row>
    <row r="46" spans="2:35" x14ac:dyDescent="0.25">
      <c r="J46" s="308" t="s">
        <v>176</v>
      </c>
      <c r="K46" s="90"/>
      <c r="L46" s="90"/>
      <c r="M46" s="90"/>
      <c r="N46" s="90"/>
      <c r="O46" s="309">
        <v>1209579.82</v>
      </c>
      <c r="P46" s="90"/>
    </row>
    <row r="47" spans="2:35" x14ac:dyDescent="0.25">
      <c r="J47" s="308" t="s">
        <v>177</v>
      </c>
      <c r="K47" s="90"/>
      <c r="L47" s="90"/>
      <c r="M47" s="90"/>
      <c r="N47" s="90"/>
      <c r="O47" s="326">
        <v>1698217.95</v>
      </c>
      <c r="P47" s="90"/>
    </row>
    <row r="48" spans="2:35" x14ac:dyDescent="0.25">
      <c r="J48" s="308"/>
      <c r="K48" s="90"/>
      <c r="L48" s="90"/>
      <c r="M48" s="90"/>
      <c r="N48" s="90"/>
      <c r="O48" s="309"/>
      <c r="P48" s="90"/>
    </row>
    <row r="49" spans="10:16" x14ac:dyDescent="0.25">
      <c r="J49" s="308"/>
      <c r="K49" s="90"/>
      <c r="L49" s="90"/>
      <c r="M49" s="90"/>
      <c r="N49" s="90"/>
      <c r="O49" s="309"/>
      <c r="P49" s="90"/>
    </row>
    <row r="50" spans="10:16" x14ac:dyDescent="0.25">
      <c r="J50" s="308"/>
      <c r="K50" s="90"/>
      <c r="L50" s="90"/>
      <c r="M50" s="90"/>
      <c r="N50" s="90"/>
      <c r="O50" s="309"/>
      <c r="P50" s="90"/>
    </row>
    <row r="51" spans="10:16" x14ac:dyDescent="0.25">
      <c r="J51" s="308"/>
      <c r="K51" s="90"/>
      <c r="L51" s="90"/>
      <c r="M51" s="90"/>
      <c r="N51" s="90"/>
      <c r="O51" s="309">
        <f>O42+O46</f>
        <v>1651226.85</v>
      </c>
      <c r="P51" s="90"/>
    </row>
    <row r="52" spans="10:16" x14ac:dyDescent="0.25">
      <c r="J52" s="308"/>
      <c r="K52" s="90"/>
      <c r="L52" s="90"/>
      <c r="M52" s="90"/>
      <c r="N52" s="90"/>
      <c r="O52" s="309"/>
      <c r="P52" s="90"/>
    </row>
    <row r="53" spans="10:16" x14ac:dyDescent="0.25">
      <c r="J53" s="308" t="s">
        <v>172</v>
      </c>
      <c r="K53" s="90"/>
      <c r="L53" s="90"/>
      <c r="M53" s="90"/>
      <c r="N53" s="90"/>
      <c r="O53" s="309">
        <v>1868620</v>
      </c>
      <c r="P53" s="90"/>
    </row>
    <row r="54" spans="10:16" x14ac:dyDescent="0.25">
      <c r="J54" s="308"/>
      <c r="K54" s="90"/>
      <c r="L54" s="90"/>
      <c r="M54" s="90"/>
      <c r="N54" s="90"/>
      <c r="O54" s="309"/>
      <c r="P54" s="90"/>
    </row>
    <row r="55" spans="10:16" x14ac:dyDescent="0.25">
      <c r="J55" s="308"/>
      <c r="K55" s="90"/>
      <c r="L55" s="90"/>
      <c r="M55" s="90"/>
      <c r="N55" s="90"/>
      <c r="O55" s="309">
        <f>O53-O51</f>
        <v>217393.14999999991</v>
      </c>
      <c r="P55" s="90"/>
    </row>
    <row r="56" spans="10:16" x14ac:dyDescent="0.25">
      <c r="J56" s="308"/>
      <c r="K56" s="90"/>
      <c r="L56" s="90"/>
      <c r="M56" s="90"/>
      <c r="N56" s="90"/>
      <c r="O56" s="309"/>
      <c r="P56" s="90"/>
    </row>
    <row r="57" spans="10:16" x14ac:dyDescent="0.25">
      <c r="J57" s="308"/>
      <c r="K57" s="90"/>
      <c r="L57" s="90"/>
      <c r="M57" s="90"/>
      <c r="N57" s="90"/>
      <c r="O57" s="309"/>
      <c r="P57" s="90"/>
    </row>
    <row r="58" spans="10:16" x14ac:dyDescent="0.25">
      <c r="J58" s="308" t="s">
        <v>163</v>
      </c>
      <c r="K58" s="90"/>
      <c r="L58" s="90"/>
      <c r="M58" s="90"/>
      <c r="N58" s="90"/>
      <c r="O58" s="321">
        <v>552550</v>
      </c>
      <c r="P58" s="90"/>
    </row>
    <row r="59" spans="10:16" x14ac:dyDescent="0.25">
      <c r="J59" s="308"/>
      <c r="K59" s="90"/>
      <c r="L59" s="90"/>
      <c r="M59" s="90"/>
      <c r="N59" s="90"/>
      <c r="O59" s="309"/>
      <c r="P59" s="90"/>
    </row>
    <row r="60" spans="10:16" x14ac:dyDescent="0.25">
      <c r="J60" s="308" t="s">
        <v>23</v>
      </c>
      <c r="K60" s="90"/>
      <c r="L60" s="90"/>
      <c r="M60" s="90"/>
      <c r="N60" s="90"/>
      <c r="O60" s="309">
        <f>O55+O58</f>
        <v>769943.14999999991</v>
      </c>
      <c r="P60" s="90"/>
    </row>
    <row r="61" spans="10:16" x14ac:dyDescent="0.25">
      <c r="J61" s="308" t="s">
        <v>167</v>
      </c>
      <c r="K61" s="90"/>
      <c r="L61" s="90"/>
      <c r="M61" s="90"/>
      <c r="N61" s="90"/>
      <c r="O61" s="309">
        <v>605942.06999999995</v>
      </c>
      <c r="P61" s="90"/>
    </row>
    <row r="62" spans="10:16" x14ac:dyDescent="0.25">
      <c r="J62" s="312" t="s">
        <v>23</v>
      </c>
      <c r="K62" s="313"/>
      <c r="L62" s="313"/>
      <c r="M62" s="313"/>
      <c r="N62" s="313"/>
      <c r="O62" s="314">
        <f>O60-O61</f>
        <v>164001.07999999996</v>
      </c>
      <c r="P62" s="90"/>
    </row>
  </sheetData>
  <mergeCells count="8">
    <mergeCell ref="J40:O40"/>
    <mergeCell ref="B7:G8"/>
    <mergeCell ref="J7:O7"/>
    <mergeCell ref="B10:G11"/>
    <mergeCell ref="J10:M10"/>
    <mergeCell ref="B23:C23"/>
    <mergeCell ref="B35:F35"/>
    <mergeCell ref="J35:N3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2023 Estimate Overall Capital</vt:lpstr>
      <vt:lpstr>Centrica CSA</vt:lpstr>
      <vt:lpstr>PFI CN's</vt:lpstr>
      <vt:lpstr>Future works</vt:lpstr>
      <vt:lpstr>Boiler LCC </vt:lpstr>
      <vt:lpstr>Sheet1</vt:lpstr>
      <vt:lpstr>Reslience Options costs</vt:lpstr>
    </vt:vector>
  </TitlesOfParts>
  <Company>Wye Valley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Roden, Heather</dc:creator>
  <cp:lastModifiedBy>Andrews, Clive</cp:lastModifiedBy>
  <cp:lastPrinted>2023-11-28T08:30:36Z</cp:lastPrinted>
  <dcterms:created xsi:type="dcterms:W3CDTF">2018-09-20T08:02:38Z</dcterms:created>
  <dcterms:modified xsi:type="dcterms:W3CDTF">2023-11-29T10:17:54Z</dcterms:modified>
</cp:coreProperties>
</file>