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Project - IES\Commercial\Centrica Payment Schedule\"/>
    </mc:Choice>
  </mc:AlternateContent>
  <bookViews>
    <workbookView xWindow="-120" yWindow="-120" windowWidth="19320" windowHeight="6300"/>
  </bookViews>
  <sheets>
    <sheet name="Financial Summary Capital" sheetId="3" r:id="rId1"/>
    <sheet name="Condensed Schedule" sheetId="2" r:id="rId2"/>
    <sheet name="Payment" sheetId="1" r:id="rId3"/>
  </sheets>
  <definedNames>
    <definedName name="Energy_Types">#REF!</definedName>
    <definedName name="_xlnm.Print_Area" localSheetId="2">Payment!$A$1:$K$50</definedName>
    <definedName name="Project_typ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  <c r="E27" i="2"/>
  <c r="E21" i="3" l="1"/>
  <c r="E20" i="3"/>
  <c r="E19" i="3"/>
  <c r="E17" i="3"/>
  <c r="E16" i="3"/>
  <c r="E15" i="3"/>
  <c r="E14" i="3"/>
  <c r="E13" i="3"/>
  <c r="E12" i="3"/>
  <c r="E11" i="3"/>
  <c r="E10" i="3"/>
  <c r="E8" i="3"/>
  <c r="E7" i="3"/>
  <c r="E6" i="3"/>
  <c r="E5" i="3"/>
  <c r="E4" i="3"/>
  <c r="E24" i="2"/>
  <c r="E23" i="2"/>
  <c r="E22" i="2"/>
  <c r="E21" i="2"/>
  <c r="E20" i="2"/>
  <c r="E19" i="2"/>
  <c r="E18" i="2"/>
  <c r="E17" i="2"/>
  <c r="E16" i="2"/>
  <c r="E15" i="2"/>
  <c r="E18" i="3" l="1"/>
  <c r="E9" i="3"/>
  <c r="B35" i="2"/>
  <c r="C35" i="2" s="1"/>
  <c r="B49" i="2" s="1"/>
  <c r="E33" i="2"/>
  <c r="E32" i="2"/>
  <c r="E31" i="2"/>
  <c r="D31" i="2"/>
  <c r="B31" i="2"/>
  <c r="C31" i="2" s="1"/>
  <c r="E29" i="2"/>
  <c r="B29" i="2" s="1"/>
  <c r="C29" i="2" s="1"/>
  <c r="D29" i="2"/>
  <c r="E25" i="2"/>
  <c r="E14" i="2"/>
  <c r="E13" i="2"/>
  <c r="B13" i="2" s="1"/>
  <c r="C13" i="2" s="1"/>
  <c r="E9" i="2"/>
  <c r="B9" i="2" s="1"/>
  <c r="C9" i="2" s="1"/>
  <c r="E7" i="2"/>
  <c r="B7" i="2"/>
  <c r="C7" i="2" s="1"/>
  <c r="E5" i="2"/>
  <c r="D5" i="2"/>
  <c r="B5" i="2"/>
  <c r="C5" i="2" s="1"/>
  <c r="E4" i="2"/>
  <c r="D4" i="2"/>
  <c r="D3" i="2"/>
  <c r="B3" i="2"/>
  <c r="C3" i="2" s="1"/>
  <c r="AE55" i="1"/>
  <c r="AD55" i="1"/>
  <c r="AC55" i="1"/>
  <c r="AB55" i="1"/>
  <c r="AA55" i="1"/>
  <c r="Z55" i="1"/>
  <c r="Y55" i="1"/>
  <c r="X55" i="1"/>
  <c r="W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C55" i="1"/>
  <c r="B55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C50" i="1"/>
  <c r="B50" i="1"/>
  <c r="D45" i="1"/>
  <c r="C45" i="1"/>
  <c r="B45" i="1"/>
  <c r="D43" i="1"/>
  <c r="C43" i="1"/>
  <c r="B43" i="1"/>
  <c r="C41" i="1"/>
  <c r="C39" i="1"/>
  <c r="C15" i="1"/>
  <c r="B15" i="1"/>
  <c r="C13" i="1"/>
  <c r="B13" i="1"/>
  <c r="C11" i="1"/>
  <c r="B11" i="1"/>
  <c r="D9" i="1"/>
  <c r="C9" i="1"/>
  <c r="B9" i="1"/>
  <c r="D8" i="1"/>
  <c r="C8" i="1"/>
  <c r="B8" i="1"/>
  <c r="D7" i="1"/>
  <c r="C7" i="1"/>
  <c r="B7" i="1"/>
  <c r="E22" i="3" l="1"/>
  <c r="E23" i="3" s="1"/>
  <c r="E24" i="3" s="1"/>
  <c r="E41" i="2"/>
  <c r="B4" i="2"/>
  <c r="C4" i="2" s="1"/>
  <c r="B41" i="2" l="1"/>
  <c r="B43" i="2" s="1"/>
  <c r="B44" i="2" s="1"/>
  <c r="B48" i="2" s="1"/>
  <c r="B50" i="2" s="1"/>
  <c r="E43" i="2"/>
  <c r="E44" i="2" s="1"/>
</calcChain>
</file>

<file path=xl/sharedStrings.xml><?xml version="1.0" encoding="utf-8"?>
<sst xmlns="http://schemas.openxmlformats.org/spreadsheetml/2006/main" count="160" uniqueCount="107">
  <si>
    <t>April</t>
  </si>
  <si>
    <t>May</t>
  </si>
  <si>
    <t>June</t>
  </si>
  <si>
    <t>July</t>
  </si>
  <si>
    <t>August</t>
  </si>
  <si>
    <t>September</t>
  </si>
  <si>
    <t xml:space="preserve">Wye Valley Phase 2 Salix Payment Schedule 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</si>
  <si>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</si>
  <si>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</si>
  <si>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</si>
  <si>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</si>
  <si>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</si>
  <si>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</si>
  <si>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</si>
  <si>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</si>
  <si>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</si>
  <si>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</si>
  <si>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</si>
  <si>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Loft Insulation</t>
  </si>
  <si>
    <t>Heat Pumps</t>
  </si>
  <si>
    <t>Project Approval</t>
  </si>
  <si>
    <t>Out to tender</t>
  </si>
  <si>
    <t>Tenders returned</t>
  </si>
  <si>
    <t>Works in progress on site</t>
  </si>
  <si>
    <t>March</t>
  </si>
  <si>
    <t>Sept</t>
  </si>
  <si>
    <t>Salix Milestones</t>
  </si>
  <si>
    <t>CBS Milestone</t>
  </si>
  <si>
    <t>Completed on site</t>
  </si>
  <si>
    <t>Final commissioning</t>
  </si>
  <si>
    <t>Signature of Agreement</t>
  </si>
  <si>
    <t>Welfare Cabins Physically on site</t>
  </si>
  <si>
    <t>Autoclaves</t>
  </si>
  <si>
    <t>Insurance</t>
  </si>
  <si>
    <t>Designs Completed</t>
  </si>
  <si>
    <t>October</t>
  </si>
  <si>
    <t>November</t>
  </si>
  <si>
    <t>December</t>
  </si>
  <si>
    <t>January</t>
  </si>
  <si>
    <t>February</t>
  </si>
  <si>
    <t>Inc VAT</t>
  </si>
  <si>
    <t>Ex Vat</t>
  </si>
  <si>
    <t>VAT @20%</t>
  </si>
  <si>
    <t>Total Ex Vat</t>
  </si>
  <si>
    <t>Total inc VAT</t>
  </si>
  <si>
    <t>Order Placed</t>
  </si>
  <si>
    <t>Detailed Design</t>
  </si>
  <si>
    <t>Order Placed for large ticket items</t>
  </si>
  <si>
    <t>Month</t>
  </si>
  <si>
    <t xml:space="preserve">Value </t>
  </si>
  <si>
    <t>Lifecycle Cost</t>
  </si>
  <si>
    <t>Helga</t>
  </si>
  <si>
    <t>Lifecycle Cost (From Trust</t>
  </si>
  <si>
    <t>Trust Contingency</t>
  </si>
  <si>
    <t>* Trust Contingency</t>
  </si>
  <si>
    <t>* Trust contingency will be drawn down from Salix but not paid to Centrica</t>
  </si>
  <si>
    <t>Rev 3 25-05-23</t>
  </si>
  <si>
    <t>Pathology Install Complete</t>
  </si>
  <si>
    <t>Materials Delivered</t>
  </si>
  <si>
    <t>Age Care Install Complete</t>
  </si>
  <si>
    <t>Procurement of materials for Energy Centre Mechanical Works</t>
  </si>
  <si>
    <t>Off-Site Fabrication of Energy Centre Skids and Pipework</t>
  </si>
  <si>
    <t>Procurement of materials for Package Plant Room Mechanical Works</t>
  </si>
  <si>
    <t>Off-Site Fabrication of Package Plant Room</t>
  </si>
  <si>
    <t>Procurement of HV Works</t>
  </si>
  <si>
    <t>Procurement of BMS Works</t>
  </si>
  <si>
    <t>Procurement of District Heating Works</t>
  </si>
  <si>
    <t>Procurement of Energy Centre Build</t>
  </si>
  <si>
    <t>Procurement of Electrical and Controls Package</t>
  </si>
  <si>
    <t>Site Clearance and Foundations for Energy Centre Build</t>
  </si>
  <si>
    <t>Deliver District Heating Pipework and Start Installation</t>
  </si>
  <si>
    <t>Civils for Mortuary Package Plant Room</t>
  </si>
  <si>
    <t>District Heating Installtion Complete to Pathology</t>
  </si>
  <si>
    <t>Procurement of M&amp;E Works for Satelite Plant Rooms</t>
  </si>
  <si>
    <t>Deliver Transformer to Site and Install LV Supplies SSD</t>
  </si>
  <si>
    <t>Install New Electric Steam Generators in SSD</t>
  </si>
  <si>
    <t>Procurement of Pathology Electric Steam Generator Works</t>
  </si>
  <si>
    <t>Centrica Project Value</t>
  </si>
  <si>
    <t>Salix Grant</t>
  </si>
  <si>
    <t>Assume not Vatable</t>
  </si>
  <si>
    <t>Lifecycle Contribution (from Trust, assuming boiler replacement works are undertaken)</t>
  </si>
  <si>
    <t>Insulation</t>
  </si>
  <si>
    <t>Funding</t>
  </si>
  <si>
    <t>IES</t>
  </si>
  <si>
    <t>Savings/reduction in costs</t>
  </si>
  <si>
    <t xml:space="preserve">NB : Via Mercia when the gas boilers do not need lifecycle repayment.
</t>
  </si>
  <si>
    <t>New Revenue Implications</t>
  </si>
  <si>
    <t>Centrica</t>
  </si>
  <si>
    <t xml:space="preserve">NB: Maintenance of the energy centre PSDS3 works </t>
  </si>
  <si>
    <t>23/24</t>
  </si>
  <si>
    <t>Expenditure</t>
  </si>
  <si>
    <t>Area</t>
  </si>
  <si>
    <t>£000</t>
  </si>
  <si>
    <t>Design Stage</t>
  </si>
  <si>
    <t>Centrica project initiation costs: Investment Grade Audit, concept design, legal costs, tendering of contractors and suppliers, procurement of key assets</t>
  </si>
  <si>
    <t>Conversion of concept design into full proposal with energy performance guarantee</t>
  </si>
  <si>
    <t>Total</t>
  </si>
  <si>
    <t>On Site</t>
  </si>
  <si>
    <t>Centrica project enabling costs</t>
  </si>
  <si>
    <t>Centrica construction phase costs</t>
  </si>
  <si>
    <t>HELGA FRAMEWORK</t>
  </si>
  <si>
    <t>NHS Contract Fee</t>
  </si>
  <si>
    <t>Site clearance at end of construction</t>
  </si>
  <si>
    <t>Contingency</t>
  </si>
  <si>
    <t>Final system checks/testing and monitoring and verification of energy savings guarantee</t>
  </si>
  <si>
    <t>Balance due.</t>
  </si>
  <si>
    <t>Invoices paid.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</si>
</sst>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£&quot;#,##0;[Red]\-&quot;£&quot;#,##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&quot;£&quot;#,##0.00"/>
    <numFmt numFmtId="166" formatCode="_-&quot;£&quot;* #,##0.0_-;\-&quot;£&quot;* #,##0.0_-;_-&quot;£&quot;* &quot;-&quot;??_-;_-@_-"/>
    <numFmt numFmtId="167" formatCode="&quot;£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01">
    <xf numFmtId="0" fontId="0" fillId="0" borderId="0" xfId="0"/>
    <xf numFmtId="164" fontId="3" fillId="0" borderId="0" xfId="1" applyNumberFormat="1" applyFont="1" applyFill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4" fillId="0" borderId="0" xfId="3" applyNumberFormat="1" applyFont="1" applyAlignment="1">
      <alignment horizontal="center" vertical="center"/>
    </xf>
    <xf numFmtId="164" fontId="4" fillId="0" borderId="0" xfId="3" applyNumberFormat="1" applyFont="1"/>
    <xf numFmtId="164" fontId="4" fillId="2" borderId="8" xfId="0" applyNumberFormat="1" applyFont="1" applyFill="1" applyBorder="1" applyAlignment="1">
      <alignment horizontal="center"/>
    </xf>
    <xf numFmtId="0" fontId="4" fillId="0" borderId="0" xfId="0" applyFont="1"/>
    <xf numFmtId="164" fontId="4" fillId="2" borderId="7" xfId="1" applyNumberFormat="1" applyFont="1" applyFill="1" applyBorder="1"/>
    <xf numFmtId="164" fontId="4" fillId="0" borderId="6" xfId="1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/>
    </xf>
    <xf numFmtId="164" fontId="4" fillId="0" borderId="6" xfId="1" applyNumberFormat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vertical="center"/>
    </xf>
    <xf numFmtId="164" fontId="4" fillId="5" borderId="0" xfId="1" applyNumberFormat="1" applyFont="1" applyFill="1" applyBorder="1" applyAlignment="1">
      <alignment horizontal="center" vertical="center"/>
    </xf>
    <xf numFmtId="164" fontId="3" fillId="0" borderId="6" xfId="0" applyNumberFormat="1" applyFont="1" applyBorder="1"/>
    <xf numFmtId="164" fontId="4" fillId="0" borderId="0" xfId="1" applyNumberFormat="1" applyFont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3" fillId="0" borderId="0" xfId="1" applyNumberFormat="1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3" fillId="0" borderId="1" xfId="0" applyFont="1" applyBorder="1"/>
    <xf numFmtId="164" fontId="4" fillId="0" borderId="1" xfId="2" applyNumberFormat="1" applyFont="1" applyBorder="1"/>
    <xf numFmtId="164" fontId="3" fillId="0" borderId="6" xfId="2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4" fillId="2" borderId="6" xfId="2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left"/>
    </xf>
    <xf numFmtId="164" fontId="3" fillId="2" borderId="6" xfId="1" applyNumberFormat="1" applyFont="1" applyFill="1" applyBorder="1"/>
    <xf numFmtId="0" fontId="3" fillId="2" borderId="6" xfId="0" applyFont="1" applyFill="1" applyBorder="1"/>
    <xf numFmtId="0" fontId="3" fillId="0" borderId="6" xfId="3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left"/>
    </xf>
    <xf numFmtId="164" fontId="3" fillId="0" borderId="6" xfId="1" applyNumberFormat="1" applyFont="1" applyBorder="1"/>
    <xf numFmtId="0" fontId="3" fillId="0" borderId="6" xfId="0" applyFont="1" applyBorder="1"/>
    <xf numFmtId="44" fontId="3" fillId="0" borderId="6" xfId="0" applyNumberFormat="1" applyFont="1" applyBorder="1"/>
    <xf numFmtId="0" fontId="3" fillId="5" borderId="0" xfId="0" applyFont="1" applyFill="1"/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" fillId="0" borderId="0" xfId="3" applyFont="1"/>
    <xf numFmtId="164" fontId="4" fillId="0" borderId="0" xfId="0" applyNumberFormat="1" applyFont="1" applyAlignment="1">
      <alignment horizontal="left"/>
    </xf>
    <xf numFmtId="164" fontId="4" fillId="3" borderId="2" xfId="1" applyNumberFormat="1" applyFont="1" applyFill="1" applyBorder="1" applyAlignment="1">
      <alignment vertical="center"/>
    </xf>
    <xf numFmtId="164" fontId="4" fillId="8" borderId="2" xfId="1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6" borderId="11" xfId="0" applyFont="1" applyFill="1" applyBorder="1" applyAlignment="1">
      <alignment vertical="center"/>
    </xf>
    <xf numFmtId="0" fontId="3" fillId="7" borderId="12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164" fontId="3" fillId="0" borderId="6" xfId="1" applyNumberFormat="1" applyFont="1" applyBorder="1" applyAlignment="1">
      <alignment horizontal="center" vertical="center"/>
    </xf>
    <xf numFmtId="164" fontId="3" fillId="3" borderId="2" xfId="1" applyNumberFormat="1" applyFont="1" applyFill="1" applyBorder="1" applyAlignment="1">
      <alignment vertical="center"/>
    </xf>
    <xf numFmtId="164" fontId="3" fillId="8" borderId="2" xfId="1" applyNumberFormat="1" applyFont="1" applyFill="1" applyBorder="1" applyAlignment="1">
      <alignment vertical="center"/>
    </xf>
    <xf numFmtId="164" fontId="3" fillId="5" borderId="0" xfId="1" applyNumberFormat="1" applyFont="1" applyFill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4" fillId="0" borderId="0" xfId="3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3" fillId="0" borderId="7" xfId="1" applyNumberFormat="1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164" fontId="4" fillId="5" borderId="12" xfId="1" applyNumberFormat="1" applyFont="1" applyFill="1" applyBorder="1" applyAlignment="1">
      <alignment horizontal="center" vertical="center"/>
    </xf>
    <xf numFmtId="164" fontId="3" fillId="5" borderId="2" xfId="1" applyNumberFormat="1" applyFont="1" applyFill="1" applyBorder="1" applyAlignment="1">
      <alignment horizontal="center" vertical="center"/>
    </xf>
    <xf numFmtId="164" fontId="3" fillId="5" borderId="5" xfId="1" applyNumberFormat="1" applyFont="1" applyFill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164" fontId="4" fillId="8" borderId="12" xfId="1" applyNumberFormat="1" applyFont="1" applyFill="1" applyBorder="1" applyAlignment="1">
      <alignment horizontal="center" vertical="center"/>
    </xf>
    <xf numFmtId="164" fontId="3" fillId="8" borderId="2" xfId="1" applyNumberFormat="1" applyFont="1" applyFill="1" applyBorder="1" applyAlignment="1">
      <alignment horizontal="center" vertical="center"/>
    </xf>
    <xf numFmtId="164" fontId="3" fillId="8" borderId="5" xfId="1" applyNumberFormat="1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6" xfId="2" applyNumberFormat="1" applyFont="1" applyFill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166" fontId="3" fillId="0" borderId="0" xfId="0" applyNumberFormat="1" applyFont="1" applyAlignment="1">
      <alignment horizontal="left"/>
    </xf>
    <xf numFmtId="164" fontId="5" fillId="0" borderId="6" xfId="1" applyNumberFormat="1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left"/>
    </xf>
    <xf numFmtId="164" fontId="5" fillId="0" borderId="6" xfId="1" applyNumberFormat="1" applyFont="1" applyBorder="1"/>
    <xf numFmtId="0" fontId="3" fillId="0" borderId="9" xfId="0" applyFont="1" applyBorder="1" applyAlignment="1">
      <alignment horizontal="center" vertical="center"/>
    </xf>
    <xf numFmtId="164" fontId="3" fillId="0" borderId="9" xfId="1" applyNumberFormat="1" applyFont="1" applyFill="1" applyBorder="1" applyAlignment="1">
      <alignment horizontal="center" vertical="center"/>
    </xf>
    <xf numFmtId="164" fontId="3" fillId="0" borderId="9" xfId="1" applyNumberFormat="1" applyFont="1" applyFill="1" applyBorder="1" applyAlignment="1">
      <alignment vertical="center"/>
    </xf>
    <xf numFmtId="164" fontId="3" fillId="3" borderId="6" xfId="1" applyNumberFormat="1" applyFont="1" applyFill="1" applyBorder="1" applyAlignment="1">
      <alignment horizontal="center" vertical="center"/>
    </xf>
    <xf numFmtId="164" fontId="4" fillId="3" borderId="6" xfId="1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left"/>
    </xf>
    <xf numFmtId="164" fontId="3" fillId="3" borderId="6" xfId="1" applyNumberFormat="1" applyFont="1" applyFill="1" applyBorder="1"/>
    <xf numFmtId="164" fontId="3" fillId="3" borderId="6" xfId="0" applyNumberFormat="1" applyFont="1" applyFill="1" applyBorder="1"/>
    <xf numFmtId="44" fontId="3" fillId="3" borderId="6" xfId="0" applyNumberFormat="1" applyFont="1" applyFill="1" applyBorder="1"/>
    <xf numFmtId="164" fontId="3" fillId="0" borderId="9" xfId="1" applyNumberFormat="1" applyFont="1" applyBorder="1" applyAlignment="1">
      <alignment horizontal="center" vertical="center"/>
    </xf>
    <xf numFmtId="164" fontId="4" fillId="0" borderId="9" xfId="1" applyNumberFormat="1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left"/>
    </xf>
    <xf numFmtId="164" fontId="3" fillId="0" borderId="9" xfId="1" applyNumberFormat="1" applyFont="1" applyBorder="1"/>
    <xf numFmtId="164" fontId="3" fillId="0" borderId="9" xfId="0" applyNumberFormat="1" applyFont="1" applyBorder="1"/>
    <xf numFmtId="44" fontId="3" fillId="0" borderId="9" xfId="0" applyNumberFormat="1" applyFont="1" applyBorder="1"/>
    <xf numFmtId="164" fontId="3" fillId="0" borderId="6" xfId="1" applyNumberFormat="1" applyFont="1" applyFill="1" applyBorder="1" applyAlignment="1">
      <alignment vertical="center"/>
    </xf>
    <xf numFmtId="42" fontId="4" fillId="0" borderId="0" xfId="3" applyNumberFormat="1" applyFont="1"/>
    <xf numFmtId="6" fontId="7" fillId="0" borderId="0" xfId="0" applyNumberFormat="1" applyFont="1"/>
    <xf numFmtId="164" fontId="3" fillId="0" borderId="12" xfId="1" applyNumberFormat="1" applyFont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64" fontId="3" fillId="9" borderId="0" xfId="0" applyNumberFormat="1" applyFont="1" applyFill="1" applyAlignment="1">
      <alignment horizontal="center"/>
    </xf>
    <xf numFmtId="164" fontId="3" fillId="9" borderId="0" xfId="0" applyNumberFormat="1" applyFont="1" applyFill="1" applyAlignment="1">
      <alignment horizontal="left"/>
    </xf>
    <xf numFmtId="44" fontId="3" fillId="9" borderId="0" xfId="0" applyNumberFormat="1" applyFont="1" applyFill="1" applyAlignment="1">
      <alignment horizontal="center"/>
    </xf>
    <xf numFmtId="164" fontId="3" fillId="0" borderId="6" xfId="1" applyNumberFormat="1" applyFont="1" applyFill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6" fillId="0" borderId="6" xfId="1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3" applyNumberFormat="1" applyFont="1" applyFill="1" applyAlignment="1">
      <alignment horizontal="center" vertical="center"/>
    </xf>
    <xf numFmtId="164" fontId="4" fillId="0" borderId="0" xfId="3" applyNumberFormat="1" applyFont="1" applyFill="1" applyAlignment="1">
      <alignment horizontal="center" vertical="center"/>
    </xf>
    <xf numFmtId="6" fontId="4" fillId="0" borderId="0" xfId="0" applyNumberFormat="1" applyFont="1" applyAlignment="1">
      <alignment horizontal="center" vertic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9" borderId="0" xfId="0" applyFill="1" applyAlignment="1">
      <alignment horizontal="left"/>
    </xf>
    <xf numFmtId="0" fontId="0" fillId="9" borderId="0" xfId="0" applyFill="1" applyBorder="1" applyAlignment="1">
      <alignment horizontal="center"/>
    </xf>
    <xf numFmtId="0" fontId="0" fillId="9" borderId="0" xfId="0" quotePrefix="1" applyFill="1" applyAlignment="1">
      <alignment horizontal="righ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6" xfId="0" quotePrefix="1" applyBorder="1" applyAlignment="1">
      <alignment horizontal="right" indent="1"/>
    </xf>
    <xf numFmtId="164" fontId="3" fillId="11" borderId="6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center"/>
    </xf>
    <xf numFmtId="1" fontId="0" fillId="0" borderId="6" xfId="0" applyNumberFormat="1" applyBorder="1"/>
    <xf numFmtId="0" fontId="3" fillId="0" borderId="7" xfId="0" applyFont="1" applyFill="1" applyBorder="1" applyAlignment="1">
      <alignment horizontal="center" vertical="center"/>
    </xf>
    <xf numFmtId="1" fontId="0" fillId="11" borderId="6" xfId="0" applyNumberFormat="1" applyFill="1" applyBorder="1"/>
    <xf numFmtId="1" fontId="0" fillId="11" borderId="6" xfId="7" applyNumberFormat="1" applyFont="1" applyFill="1" applyBorder="1"/>
    <xf numFmtId="1" fontId="0" fillId="10" borderId="6" xfId="7" applyNumberFormat="1" applyFont="1" applyFill="1" applyBorder="1"/>
    <xf numFmtId="1" fontId="0" fillId="0" borderId="6" xfId="7" applyNumberFormat="1" applyFont="1" applyBorder="1"/>
    <xf numFmtId="1" fontId="0" fillId="0" borderId="6" xfId="7" applyNumberFormat="1" applyFont="1" applyFill="1" applyBorder="1"/>
    <xf numFmtId="164" fontId="4" fillId="10" borderId="0" xfId="0" applyNumberFormat="1" applyFont="1" applyFill="1" applyAlignment="1">
      <alignment horizontal="center"/>
    </xf>
    <xf numFmtId="0" fontId="0" fillId="0" borderId="6" xfId="0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0" fillId="0" borderId="14" xfId="0" applyBorder="1" applyAlignment="1">
      <alignment horizontal="left" wrapText="1"/>
    </xf>
    <xf numFmtId="0" fontId="0" fillId="0" borderId="14" xfId="0" applyBorder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13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vertical="center"/>
    </xf>
    <xf numFmtId="164" fontId="3" fillId="0" borderId="10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4" fontId="3" fillId="0" borderId="9" xfId="1" applyNumberFormat="1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10" borderId="15" xfId="0" applyFill="1" applyBorder="1" applyAlignment="1">
      <alignment horizontal="center" wrapText="1"/>
    </xf>
    <xf numFmtId="0" fontId="0" fillId="10" borderId="13" xfId="0" applyFill="1" applyBorder="1" applyAlignment="1">
      <alignment horizontal="center" wrapText="1"/>
    </xf>
    <xf numFmtId="0" fontId="0" fillId="10" borderId="10" xfId="0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9" xfId="0" applyBorder="1"/>
    <xf numFmtId="0" fontId="0" fillId="0" borderId="6" xfId="0" applyBorder="1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9" xfId="0" applyBorder="1" applyAlignment="1">
      <alignment wrapText="1"/>
    </xf>
  </cellXfs>
  <cellStyles count="8">
    <cellStyle name="Comma" xfId="7" builtinId="3"/>
    <cellStyle name="Currency" xfId="1" builtinId="4"/>
    <cellStyle name="Normal" xfId="0" builtinId="0"/>
    <cellStyle name="Normal 14" xfId="3"/>
    <cellStyle name="Normal 8 2" xfId="5"/>
    <cellStyle name="Normal 9 2 2" xfId="6"/>
    <cellStyle name="Percent" xfId="2" builtinId="5"/>
    <cellStyle name="Percent 1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showGridLines="0" tabSelected="1" workbookViewId="0">
      <selection activeCell="D20" sqref="D20"/>
    </sheetView>
  </sheetViews>
  <sheetFormatPr defaultRowHeight="15" x14ac:dyDescent="0.25"/>
  <cols>
    <col min="2" max="2" width="19.28515625" bestFit="1" customWidth="1"/>
    <col min="3" max="4" width="29.140625" customWidth="1"/>
    <col min="5" max="5" width="11.5703125" bestFit="1" customWidth="1"/>
    <col min="6" max="6" width="10.28515625" bestFit="1" customWidth="1"/>
  </cols>
  <sheetData>
    <row r="1" spans="2:9" x14ac:dyDescent="0.25">
      <c r="B1" s="134"/>
      <c r="C1" s="135"/>
      <c r="D1" s="136"/>
      <c r="E1" s="134"/>
    </row>
    <row r="2" spans="2:9" x14ac:dyDescent="0.25">
      <c r="B2" s="134"/>
      <c r="C2" s="137"/>
      <c r="D2" s="136"/>
      <c r="E2" s="138" t="s">
        <v>89</v>
      </c>
    </row>
    <row r="3" spans="2:9" ht="15" customHeight="1" x14ac:dyDescent="0.25">
      <c r="B3" s="87" t="s">
        <v>90</v>
      </c>
      <c r="C3" s="139" t="s">
        <v>91</v>
      </c>
      <c r="D3" s="140"/>
      <c r="E3" s="141" t="s">
        <v>92</v>
      </c>
      <c r="G3" s="185" t="s">
        <v>106</v>
      </c>
      <c r="H3" s="186"/>
      <c r="I3" s="187"/>
    </row>
    <row r="4" spans="2:9" x14ac:dyDescent="0.25">
      <c r="B4" s="191" t="s">
        <v>93</v>
      </c>
      <c r="C4" s="36" t="s">
        <v>20</v>
      </c>
      <c r="D4" s="156" t="s">
        <v>94</v>
      </c>
      <c r="E4" s="150">
        <f>'Condensed Schedule'!E3/1000</f>
        <v>355</v>
      </c>
      <c r="G4" s="188" t="s">
        <v>105</v>
      </c>
      <c r="H4" s="189"/>
      <c r="I4" s="190"/>
    </row>
    <row r="5" spans="2:9" x14ac:dyDescent="0.25">
      <c r="B5" s="192"/>
      <c r="C5" s="36" t="s">
        <v>21</v>
      </c>
      <c r="D5" s="156"/>
      <c r="E5" s="150">
        <f>'Condensed Schedule'!E4/1000</f>
        <v>269.84249999999997</v>
      </c>
    </row>
    <row r="6" spans="2:9" x14ac:dyDescent="0.25">
      <c r="B6" s="192"/>
      <c r="C6" s="36" t="s">
        <v>22</v>
      </c>
      <c r="D6" s="156"/>
      <c r="E6" s="150">
        <f>'Condensed Schedule'!E5/1000</f>
        <v>472.48583000000002</v>
      </c>
    </row>
    <row r="7" spans="2:9" x14ac:dyDescent="0.25">
      <c r="B7" s="192"/>
      <c r="C7" s="125" t="s">
        <v>45</v>
      </c>
      <c r="D7" s="156"/>
      <c r="E7" s="150">
        <f>'Condensed Schedule'!E7/1000</f>
        <v>3694.18</v>
      </c>
    </row>
    <row r="8" spans="2:9" ht="45" x14ac:dyDescent="0.25">
      <c r="B8" s="197"/>
      <c r="C8" s="124" t="s">
        <v>34</v>
      </c>
      <c r="D8" s="200" t="s">
        <v>95</v>
      </c>
      <c r="E8" s="150">
        <f>SUM('Condensed Schedule'!E9:E11)/1000</f>
        <v>355.04500000000002</v>
      </c>
    </row>
    <row r="9" spans="2:9" x14ac:dyDescent="0.25">
      <c r="B9" s="193"/>
      <c r="C9" s="142" t="s">
        <v>96</v>
      </c>
      <c r="D9" s="143"/>
      <c r="E9" s="149">
        <f>SUM(E4:E8)</f>
        <v>5146.5533299999997</v>
      </c>
    </row>
    <row r="10" spans="2:9" x14ac:dyDescent="0.25">
      <c r="B10" s="192" t="s">
        <v>97</v>
      </c>
      <c r="C10" s="60" t="s">
        <v>33</v>
      </c>
      <c r="D10" s="157" t="s">
        <v>98</v>
      </c>
      <c r="E10" s="150">
        <f>'Condensed Schedule'!E13/1000</f>
        <v>22.26</v>
      </c>
    </row>
    <row r="11" spans="2:9" x14ac:dyDescent="0.25">
      <c r="B11" s="192"/>
      <c r="C11" s="124" t="s">
        <v>30</v>
      </c>
      <c r="D11" s="157"/>
      <c r="E11" s="150">
        <f>'Condensed Schedule'!E14/1000</f>
        <v>163.09</v>
      </c>
    </row>
    <row r="12" spans="2:9" x14ac:dyDescent="0.25">
      <c r="B12" s="192"/>
      <c r="C12" s="124" t="s">
        <v>31</v>
      </c>
      <c r="D12" s="157" t="s">
        <v>99</v>
      </c>
      <c r="E12" s="152">
        <f>'Condensed Schedule'!E15/1000</f>
        <v>35.549999999999997</v>
      </c>
    </row>
    <row r="13" spans="2:9" x14ac:dyDescent="0.25">
      <c r="B13" s="192"/>
      <c r="C13" s="124" t="s">
        <v>81</v>
      </c>
      <c r="D13" s="157"/>
      <c r="E13" s="152">
        <f>'Condensed Schedule'!E16/1000</f>
        <v>75.078000000000003</v>
      </c>
    </row>
    <row r="14" spans="2:9" x14ac:dyDescent="0.25">
      <c r="B14" s="192"/>
      <c r="C14" s="126" t="s">
        <v>19</v>
      </c>
      <c r="D14" s="157"/>
      <c r="E14" s="152">
        <f>SUM('Condensed Schedule'!E17:E21)/1000</f>
        <v>9920.5419999999995</v>
      </c>
    </row>
    <row r="15" spans="2:9" x14ac:dyDescent="0.25">
      <c r="B15" s="192"/>
      <c r="C15" s="126" t="s">
        <v>32</v>
      </c>
      <c r="D15" s="157"/>
      <c r="E15" s="152">
        <f>SUM('Condensed Schedule'!E22:E24)/1000</f>
        <v>404.45</v>
      </c>
    </row>
    <row r="16" spans="2:9" x14ac:dyDescent="0.25">
      <c r="B16" s="192"/>
      <c r="C16" s="126" t="s">
        <v>100</v>
      </c>
      <c r="D16" s="143" t="s">
        <v>101</v>
      </c>
      <c r="E16" s="150">
        <f>'Condensed Schedule'!E25/1000</f>
        <v>49.37</v>
      </c>
    </row>
    <row r="17" spans="2:5" x14ac:dyDescent="0.25">
      <c r="B17" s="192"/>
      <c r="C17" s="126" t="s">
        <v>103</v>
      </c>
      <c r="D17" s="144"/>
      <c r="E17" s="151">
        <f>SUM('Condensed Schedule'!E26:E27)/1000</f>
        <v>300</v>
      </c>
    </row>
    <row r="18" spans="2:5" x14ac:dyDescent="0.25">
      <c r="B18" s="195"/>
      <c r="C18" s="142" t="s">
        <v>96</v>
      </c>
      <c r="D18" s="198"/>
      <c r="E18" s="149">
        <f>SUM(E10:E17)</f>
        <v>10970.34</v>
      </c>
    </row>
    <row r="19" spans="2:5" ht="30" x14ac:dyDescent="0.25">
      <c r="B19" s="196" t="s">
        <v>28</v>
      </c>
      <c r="C19" s="145"/>
      <c r="D19" s="199" t="s">
        <v>102</v>
      </c>
      <c r="E19" s="146">
        <f>'Condensed Schedule'!E29/1000</f>
        <v>249.91</v>
      </c>
    </row>
    <row r="20" spans="2:5" ht="60" x14ac:dyDescent="0.25">
      <c r="B20" s="194" t="s">
        <v>29</v>
      </c>
      <c r="C20" s="147"/>
      <c r="D20" s="144" t="s">
        <v>104</v>
      </c>
      <c r="E20" s="146">
        <f>SUM('Condensed Schedule'!E31:E33)/1000</f>
        <v>464.01083999999997</v>
      </c>
    </row>
    <row r="21" spans="2:5" x14ac:dyDescent="0.25">
      <c r="B21" s="154"/>
      <c r="C21" s="155"/>
      <c r="D21" s="154"/>
      <c r="E21" s="148">
        <f>SUM(E19:E20)</f>
        <v>713.92084</v>
      </c>
    </row>
    <row r="22" spans="2:5" x14ac:dyDescent="0.25">
      <c r="B22" s="154"/>
      <c r="C22" s="155"/>
      <c r="D22" s="154"/>
      <c r="E22" s="148">
        <f>+E9+E18+E21</f>
        <v>16830.814169999998</v>
      </c>
    </row>
    <row r="23" spans="2:5" x14ac:dyDescent="0.25">
      <c r="B23" s="154"/>
      <c r="C23" s="155"/>
      <c r="D23" s="154"/>
      <c r="E23" s="151">
        <f>+E22*0.2</f>
        <v>3366.1628339999997</v>
      </c>
    </row>
    <row r="24" spans="2:5" x14ac:dyDescent="0.25">
      <c r="B24" s="154"/>
      <c r="C24" s="155"/>
      <c r="D24" s="154"/>
      <c r="E24" s="148">
        <f>+E23+E22</f>
        <v>20196.977003999997</v>
      </c>
    </row>
    <row r="27" spans="2:5" x14ac:dyDescent="0.25">
      <c r="B27" s="184"/>
      <c r="C27" s="184"/>
    </row>
  </sheetData>
  <mergeCells count="10">
    <mergeCell ref="G3:I3"/>
    <mergeCell ref="G4:I4"/>
    <mergeCell ref="B21:B24"/>
    <mergeCell ref="C21:C24"/>
    <mergeCell ref="D21:D24"/>
    <mergeCell ref="B4:B8"/>
    <mergeCell ref="D4:D7"/>
    <mergeCell ref="B10:B17"/>
    <mergeCell ref="D10:D11"/>
    <mergeCell ref="D12:D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opLeftCell="A16" workbookViewId="0">
      <selection activeCell="O41" sqref="O41"/>
    </sheetView>
  </sheetViews>
  <sheetFormatPr defaultColWidth="9.140625" defaultRowHeight="12.75" x14ac:dyDescent="0.25"/>
  <cols>
    <col min="1" max="1" width="21.5703125" style="43" bestFit="1" customWidth="1"/>
    <col min="2" max="3" width="12" style="43" bestFit="1" customWidth="1"/>
    <col min="4" max="4" width="20.140625" style="43" bestFit="1" customWidth="1"/>
    <col min="5" max="5" width="13.42578125" style="92" bestFit="1" customWidth="1"/>
    <col min="6" max="16384" width="9.140625" style="43"/>
  </cols>
  <sheetData>
    <row r="2" spans="1:6" x14ac:dyDescent="0.25">
      <c r="A2" s="87" t="s">
        <v>26</v>
      </c>
      <c r="B2" s="88" t="s">
        <v>41</v>
      </c>
      <c r="C2" s="88" t="s">
        <v>40</v>
      </c>
      <c r="D2" s="89" t="s">
        <v>27</v>
      </c>
      <c r="E2" s="89" t="s">
        <v>49</v>
      </c>
      <c r="F2" s="89" t="s">
        <v>48</v>
      </c>
    </row>
    <row r="3" spans="1:6" x14ac:dyDescent="0.25">
      <c r="A3" s="36" t="s">
        <v>20</v>
      </c>
      <c r="B3" s="56">
        <f>E3</f>
        <v>355000</v>
      </c>
      <c r="C3" s="56">
        <f>B3*1.2</f>
        <v>426000</v>
      </c>
      <c r="D3" s="56" t="str">
        <f>A3</f>
        <v>Project Approval</v>
      </c>
      <c r="E3" s="128">
        <v>355000</v>
      </c>
      <c r="F3" s="91">
        <v>44927</v>
      </c>
    </row>
    <row r="4" spans="1:6" x14ac:dyDescent="0.25">
      <c r="A4" s="36" t="s">
        <v>21</v>
      </c>
      <c r="B4" s="56">
        <f>E4</f>
        <v>269842.5</v>
      </c>
      <c r="C4" s="56">
        <f>B4*1.2</f>
        <v>323811</v>
      </c>
      <c r="D4" s="56" t="str">
        <f>A4</f>
        <v>Out to tender</v>
      </c>
      <c r="E4" s="128">
        <f>Payment!E8</f>
        <v>269842.5</v>
      </c>
      <c r="F4" s="91">
        <v>44927</v>
      </c>
    </row>
    <row r="5" spans="1:6" x14ac:dyDescent="0.25">
      <c r="A5" s="36" t="s">
        <v>22</v>
      </c>
      <c r="B5" s="56">
        <f>E5</f>
        <v>472485.83</v>
      </c>
      <c r="C5" s="56">
        <f>B5*1.2</f>
        <v>566982.99600000004</v>
      </c>
      <c r="D5" s="56" t="str">
        <f>A5</f>
        <v>Tenders returned</v>
      </c>
      <c r="E5" s="128">
        <f>Payment!H9</f>
        <v>472485.83</v>
      </c>
      <c r="F5" s="91">
        <v>45017</v>
      </c>
    </row>
    <row r="6" spans="1:6" x14ac:dyDescent="0.25">
      <c r="A6" s="76"/>
      <c r="B6" s="77"/>
      <c r="C6" s="77"/>
      <c r="D6" s="77"/>
      <c r="E6" s="77"/>
      <c r="F6" s="77"/>
    </row>
    <row r="7" spans="1:6" ht="25.5" x14ac:dyDescent="0.25">
      <c r="A7" s="42" t="s">
        <v>45</v>
      </c>
      <c r="B7" s="56">
        <f>E7</f>
        <v>3694180</v>
      </c>
      <c r="C7" s="56">
        <f>B7*1.2</f>
        <v>4433016</v>
      </c>
      <c r="D7" s="75" t="s">
        <v>47</v>
      </c>
      <c r="E7" s="128">
        <f>Payment!F11</f>
        <v>3694180</v>
      </c>
      <c r="F7" s="91">
        <v>44958</v>
      </c>
    </row>
    <row r="8" spans="1:6" x14ac:dyDescent="0.25">
      <c r="A8" s="78"/>
      <c r="B8" s="79"/>
      <c r="C8" s="79"/>
      <c r="D8" s="79"/>
      <c r="E8" s="79"/>
      <c r="F8" s="80"/>
    </row>
    <row r="9" spans="1:6" x14ac:dyDescent="0.25">
      <c r="A9" s="164" t="s">
        <v>34</v>
      </c>
      <c r="B9" s="164">
        <f>SUM(E9:E11)</f>
        <v>355045</v>
      </c>
      <c r="C9" s="164">
        <f>B9*1.2</f>
        <v>426054</v>
      </c>
      <c r="D9" s="164" t="s">
        <v>46</v>
      </c>
      <c r="E9" s="128">
        <f>Payment!K13</f>
        <v>177522.5</v>
      </c>
      <c r="F9" s="91">
        <v>45108</v>
      </c>
    </row>
    <row r="10" spans="1:6" x14ac:dyDescent="0.25">
      <c r="A10" s="165"/>
      <c r="B10" s="165"/>
      <c r="C10" s="165"/>
      <c r="D10" s="165"/>
      <c r="E10" s="128">
        <v>88761.25</v>
      </c>
      <c r="F10" s="91">
        <v>45170</v>
      </c>
    </row>
    <row r="11" spans="1:6" x14ac:dyDescent="0.25">
      <c r="A11" s="165"/>
      <c r="B11" s="165"/>
      <c r="C11" s="165"/>
      <c r="D11" s="165"/>
      <c r="E11" s="128">
        <v>88761.25</v>
      </c>
      <c r="F11" s="91">
        <v>45170</v>
      </c>
    </row>
    <row r="12" spans="1:6" x14ac:dyDescent="0.25">
      <c r="A12" s="72"/>
      <c r="B12" s="73"/>
      <c r="C12" s="73"/>
      <c r="D12" s="73"/>
      <c r="E12" s="73"/>
      <c r="F12" s="74"/>
    </row>
    <row r="13" spans="1:6" x14ac:dyDescent="0.25">
      <c r="A13" s="162" t="s">
        <v>23</v>
      </c>
      <c r="B13" s="164">
        <f>SUM(E13:E27)</f>
        <v>10970340</v>
      </c>
      <c r="C13" s="164">
        <f>B13*1.2</f>
        <v>13164408</v>
      </c>
      <c r="D13" s="93" t="s">
        <v>33</v>
      </c>
      <c r="E13" s="128">
        <f>Payment!K15</f>
        <v>22260</v>
      </c>
      <c r="F13" s="91">
        <v>45108</v>
      </c>
    </row>
    <row r="14" spans="1:6" x14ac:dyDescent="0.25">
      <c r="A14" s="163"/>
      <c r="B14" s="165"/>
      <c r="C14" s="165"/>
      <c r="D14" s="93" t="s">
        <v>30</v>
      </c>
      <c r="E14" s="128">
        <f>Payment!K16</f>
        <v>163090</v>
      </c>
      <c r="F14" s="91">
        <v>45108</v>
      </c>
    </row>
    <row r="15" spans="1:6" ht="25.5" x14ac:dyDescent="0.25">
      <c r="A15" s="163"/>
      <c r="B15" s="165"/>
      <c r="C15" s="165"/>
      <c r="D15" s="93" t="s">
        <v>31</v>
      </c>
      <c r="E15" s="90">
        <f>Payment!P17</f>
        <v>35550</v>
      </c>
      <c r="F15" s="91">
        <v>45261</v>
      </c>
    </row>
    <row r="16" spans="1:6" x14ac:dyDescent="0.25">
      <c r="A16" s="163"/>
      <c r="B16" s="165"/>
      <c r="C16" s="165"/>
      <c r="D16" s="124" t="s">
        <v>81</v>
      </c>
      <c r="E16" s="90">
        <f>Payment!R18+Payment!Q19+Payment!R20</f>
        <v>75078</v>
      </c>
      <c r="F16" s="91">
        <v>45292</v>
      </c>
    </row>
    <row r="17" spans="1:6" x14ac:dyDescent="0.25">
      <c r="A17" s="163"/>
      <c r="B17" s="165"/>
      <c r="C17" s="165"/>
      <c r="D17" s="166" t="s">
        <v>19</v>
      </c>
      <c r="E17" s="90">
        <f>Payment!O21+Payment!O23+Payment!O24</f>
        <v>2766585</v>
      </c>
      <c r="F17" s="91">
        <v>45231</v>
      </c>
    </row>
    <row r="18" spans="1:6" x14ac:dyDescent="0.25">
      <c r="A18" s="163"/>
      <c r="B18" s="165"/>
      <c r="C18" s="165"/>
      <c r="D18" s="167"/>
      <c r="E18" s="90">
        <f>Payment!P22+Payment!P25+Payment!P26+Payment!P27+Payment!P28+Payment!P29</f>
        <v>2305487.5</v>
      </c>
      <c r="F18" s="91">
        <v>45261</v>
      </c>
    </row>
    <row r="19" spans="1:6" x14ac:dyDescent="0.25">
      <c r="A19" s="163"/>
      <c r="B19" s="165"/>
      <c r="C19" s="165"/>
      <c r="D19" s="167"/>
      <c r="E19" s="90">
        <f>Payment!Q22+Payment!Q30+Payment!Q31</f>
        <v>2002733.5</v>
      </c>
      <c r="F19" s="91">
        <v>45292</v>
      </c>
    </row>
    <row r="20" spans="1:6" x14ac:dyDescent="0.25">
      <c r="A20" s="163"/>
      <c r="B20" s="165"/>
      <c r="C20" s="165"/>
      <c r="D20" s="167"/>
      <c r="E20" s="90">
        <f>Payment!R32+Payment!R33</f>
        <v>1504097</v>
      </c>
      <c r="F20" s="91">
        <v>45323</v>
      </c>
    </row>
    <row r="21" spans="1:6" x14ac:dyDescent="0.25">
      <c r="A21" s="163"/>
      <c r="B21" s="165"/>
      <c r="C21" s="165"/>
      <c r="D21" s="167"/>
      <c r="E21" s="90">
        <f>Payment!S34</f>
        <v>1341639</v>
      </c>
      <c r="F21" s="91">
        <v>45352</v>
      </c>
    </row>
    <row r="22" spans="1:6" x14ac:dyDescent="0.25">
      <c r="A22" s="163"/>
      <c r="B22" s="165"/>
      <c r="C22" s="165"/>
      <c r="D22" s="166" t="s">
        <v>32</v>
      </c>
      <c r="E22" s="90">
        <f>Payment!Q35</f>
        <v>268150</v>
      </c>
      <c r="F22" s="91">
        <v>45292</v>
      </c>
    </row>
    <row r="23" spans="1:6" x14ac:dyDescent="0.25">
      <c r="A23" s="163"/>
      <c r="B23" s="165"/>
      <c r="C23" s="165"/>
      <c r="D23" s="167"/>
      <c r="E23" s="90">
        <f>Payment!R36</f>
        <v>68150</v>
      </c>
      <c r="F23" s="91">
        <v>45323</v>
      </c>
    </row>
    <row r="24" spans="1:6" x14ac:dyDescent="0.25">
      <c r="A24" s="163"/>
      <c r="B24" s="165"/>
      <c r="C24" s="165"/>
      <c r="D24" s="168"/>
      <c r="E24" s="90">
        <f>Payment!S37</f>
        <v>68150</v>
      </c>
      <c r="F24" s="91">
        <v>45352</v>
      </c>
    </row>
    <row r="25" spans="1:6" x14ac:dyDescent="0.25">
      <c r="A25" s="163"/>
      <c r="B25" s="165"/>
      <c r="C25" s="165"/>
      <c r="D25" s="94" t="s">
        <v>51</v>
      </c>
      <c r="E25" s="90">
        <f>Payment!K39</f>
        <v>49370</v>
      </c>
      <c r="F25" s="91">
        <v>45108</v>
      </c>
    </row>
    <row r="26" spans="1:6" x14ac:dyDescent="0.25">
      <c r="A26" s="163"/>
      <c r="B26" s="165"/>
      <c r="C26" s="165"/>
      <c r="D26" s="160" t="s">
        <v>54</v>
      </c>
      <c r="E26" s="90">
        <f>Payment!O41</f>
        <v>250000</v>
      </c>
      <c r="F26" s="91">
        <v>45231</v>
      </c>
    </row>
    <row r="27" spans="1:6" x14ac:dyDescent="0.25">
      <c r="A27" s="163"/>
      <c r="B27" s="165"/>
      <c r="C27" s="165"/>
      <c r="D27" s="161"/>
      <c r="E27" s="90">
        <f>Payment!P41</f>
        <v>50000</v>
      </c>
      <c r="F27" s="91">
        <v>45261</v>
      </c>
    </row>
    <row r="28" spans="1:6" x14ac:dyDescent="0.25">
      <c r="A28" s="81"/>
      <c r="B28" s="82"/>
      <c r="C28" s="82"/>
      <c r="D28" s="82"/>
      <c r="E28" s="82"/>
      <c r="F28" s="83"/>
    </row>
    <row r="29" spans="1:6" x14ac:dyDescent="0.25">
      <c r="A29" s="42" t="s">
        <v>28</v>
      </c>
      <c r="B29" s="56">
        <f>SUM(E29:E29)</f>
        <v>249910</v>
      </c>
      <c r="C29" s="56">
        <f>B29*1.2</f>
        <v>299892</v>
      </c>
      <c r="D29" s="56" t="str">
        <f>A29</f>
        <v>Completed on site</v>
      </c>
      <c r="E29" s="90">
        <f>Payment!AB43</f>
        <v>249910</v>
      </c>
      <c r="F29" s="91">
        <v>45627</v>
      </c>
    </row>
    <row r="30" spans="1:6" x14ac:dyDescent="0.25">
      <c r="A30" s="84"/>
      <c r="B30" s="85"/>
      <c r="C30" s="85"/>
      <c r="D30" s="85"/>
      <c r="E30" s="85"/>
      <c r="F30" s="86"/>
    </row>
    <row r="31" spans="1:6" x14ac:dyDescent="0.25">
      <c r="A31" s="170" t="s">
        <v>29</v>
      </c>
      <c r="B31" s="171">
        <f>SUM(E31:E33)</f>
        <v>464010.83999999997</v>
      </c>
      <c r="C31" s="171">
        <f>B31*1.2</f>
        <v>556813.00799999991</v>
      </c>
      <c r="D31" s="171" t="str">
        <f>A31</f>
        <v>Final commissioning</v>
      </c>
      <c r="E31" s="90">
        <f>Payment!AC45</f>
        <v>154670.28</v>
      </c>
      <c r="F31" s="91">
        <v>45658</v>
      </c>
    </row>
    <row r="32" spans="1:6" x14ac:dyDescent="0.25">
      <c r="A32" s="170"/>
      <c r="B32" s="171"/>
      <c r="C32" s="171"/>
      <c r="D32" s="171"/>
      <c r="E32" s="90">
        <f>Payment!AD45</f>
        <v>154670.28</v>
      </c>
      <c r="F32" s="91">
        <v>45689</v>
      </c>
    </row>
    <row r="33" spans="1:6" x14ac:dyDescent="0.25">
      <c r="A33" s="170"/>
      <c r="B33" s="171"/>
      <c r="C33" s="171"/>
      <c r="D33" s="171"/>
      <c r="E33" s="90">
        <f>Payment!AE45</f>
        <v>154670.28</v>
      </c>
      <c r="F33" s="91">
        <v>45717</v>
      </c>
    </row>
    <row r="34" spans="1:6" x14ac:dyDescent="0.25">
      <c r="A34" s="66"/>
      <c r="B34" s="67"/>
      <c r="C34" s="67"/>
      <c r="D34" s="67"/>
      <c r="E34" s="67"/>
      <c r="F34" s="68"/>
    </row>
    <row r="35" spans="1:6" x14ac:dyDescent="0.25">
      <c r="A35" s="170" t="s">
        <v>52</v>
      </c>
      <c r="B35" s="171">
        <f>SUM(E35:E37)</f>
        <v>450000</v>
      </c>
      <c r="C35" s="171">
        <f>B35*1.2</f>
        <v>540000</v>
      </c>
      <c r="D35" s="169" t="s">
        <v>50</v>
      </c>
      <c r="E35" s="90">
        <v>150000</v>
      </c>
      <c r="F35" s="91">
        <v>45383</v>
      </c>
    </row>
    <row r="36" spans="1:6" x14ac:dyDescent="0.25">
      <c r="A36" s="170"/>
      <c r="B36" s="171"/>
      <c r="C36" s="171"/>
      <c r="D36" s="169"/>
      <c r="E36" s="90">
        <v>150000</v>
      </c>
      <c r="F36" s="91">
        <v>45413</v>
      </c>
    </row>
    <row r="37" spans="1:6" x14ac:dyDescent="0.25">
      <c r="A37" s="170"/>
      <c r="B37" s="171"/>
      <c r="C37" s="171"/>
      <c r="D37" s="169"/>
      <c r="E37" s="90">
        <v>150000</v>
      </c>
      <c r="F37" s="91">
        <v>45444</v>
      </c>
    </row>
    <row r="38" spans="1:6" x14ac:dyDescent="0.25">
      <c r="B38" s="4"/>
      <c r="C38" s="4"/>
      <c r="D38" s="4"/>
    </row>
    <row r="39" spans="1:6" ht="51" customHeight="1" x14ac:dyDescent="0.25">
      <c r="A39" s="158" t="s">
        <v>55</v>
      </c>
      <c r="B39" s="158"/>
      <c r="C39" s="158"/>
      <c r="D39" s="158"/>
      <c r="E39" s="158"/>
      <c r="F39" s="158"/>
    </row>
    <row r="40" spans="1:6" x14ac:dyDescent="0.25">
      <c r="A40" s="95"/>
      <c r="B40" s="95"/>
      <c r="C40" s="95"/>
      <c r="D40" s="95"/>
      <c r="E40" s="95"/>
      <c r="F40" s="95"/>
    </row>
    <row r="41" spans="1:6" x14ac:dyDescent="0.25">
      <c r="A41" s="8" t="s">
        <v>43</v>
      </c>
      <c r="B41" s="8">
        <f>E41</f>
        <v>17280814.169999998</v>
      </c>
      <c r="C41" s="8"/>
      <c r="D41" s="8"/>
      <c r="E41" s="129">
        <f>SUM(E3:E39)</f>
        <v>17280814.169999998</v>
      </c>
    </row>
    <row r="42" spans="1:6" x14ac:dyDescent="0.25">
      <c r="A42" s="8"/>
      <c r="B42" s="8"/>
      <c r="C42" s="8"/>
      <c r="D42" s="8"/>
      <c r="E42" s="129"/>
    </row>
    <row r="43" spans="1:6" x14ac:dyDescent="0.25">
      <c r="A43" s="8" t="s">
        <v>42</v>
      </c>
      <c r="B43" s="8">
        <f>B41*20%</f>
        <v>3456162.8339999998</v>
      </c>
      <c r="C43" s="8"/>
      <c r="D43" s="8"/>
      <c r="E43" s="129">
        <f>E41*0.2</f>
        <v>3456162.8339999998</v>
      </c>
    </row>
    <row r="44" spans="1:6" x14ac:dyDescent="0.25">
      <c r="A44" s="8" t="s">
        <v>44</v>
      </c>
      <c r="B44" s="8">
        <f>B41+B43</f>
        <v>20736977.003999997</v>
      </c>
      <c r="C44" s="8"/>
      <c r="D44" s="8"/>
      <c r="E44" s="129">
        <f>E41+E43</f>
        <v>20736977.003999997</v>
      </c>
    </row>
    <row r="47" spans="1:6" x14ac:dyDescent="0.25">
      <c r="A47" s="130" t="s">
        <v>82</v>
      </c>
    </row>
    <row r="48" spans="1:6" x14ac:dyDescent="0.25">
      <c r="A48" s="43" t="s">
        <v>83</v>
      </c>
      <c r="B48" s="131">
        <f>+B44-(450000*1.2)</f>
        <v>20196977.003999997</v>
      </c>
    </row>
    <row r="49" spans="1:8" x14ac:dyDescent="0.25">
      <c r="A49" s="43" t="s">
        <v>84</v>
      </c>
      <c r="B49" s="131">
        <f>+C35</f>
        <v>540000</v>
      </c>
      <c r="C49" s="159" t="s">
        <v>85</v>
      </c>
      <c r="D49" s="159"/>
      <c r="E49" s="159"/>
      <c r="F49" s="159"/>
      <c r="G49" s="159"/>
      <c r="H49" s="159"/>
    </row>
    <row r="50" spans="1:8" x14ac:dyDescent="0.25">
      <c r="B50" s="132">
        <f>+B48+B49</f>
        <v>20736977.003999997</v>
      </c>
    </row>
    <row r="52" spans="1:8" x14ac:dyDescent="0.25">
      <c r="A52" s="130" t="s">
        <v>86</v>
      </c>
    </row>
    <row r="53" spans="1:8" x14ac:dyDescent="0.25">
      <c r="A53" s="43" t="s">
        <v>87</v>
      </c>
      <c r="B53" s="133">
        <v>163744</v>
      </c>
      <c r="C53" s="159" t="s">
        <v>88</v>
      </c>
      <c r="D53" s="159"/>
      <c r="E53" s="159"/>
      <c r="F53" s="159"/>
      <c r="G53" s="159"/>
      <c r="H53" s="159"/>
    </row>
  </sheetData>
  <mergeCells count="21">
    <mergeCell ref="A9:A11"/>
    <mergeCell ref="B9:B11"/>
    <mergeCell ref="C9:C11"/>
    <mergeCell ref="D9:D11"/>
    <mergeCell ref="D17:D21"/>
    <mergeCell ref="C13:C27"/>
    <mergeCell ref="A39:F39"/>
    <mergeCell ref="C49:H49"/>
    <mergeCell ref="C53:H53"/>
    <mergeCell ref="D26:D27"/>
    <mergeCell ref="A13:A27"/>
    <mergeCell ref="B13:B27"/>
    <mergeCell ref="D22:D24"/>
    <mergeCell ref="D35:D37"/>
    <mergeCell ref="A35:A37"/>
    <mergeCell ref="B35:B37"/>
    <mergeCell ref="C35:C37"/>
    <mergeCell ref="D31:D33"/>
    <mergeCell ref="A31:A33"/>
    <mergeCell ref="B31:B33"/>
    <mergeCell ref="C31:C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9"/>
  <sheetViews>
    <sheetView showGridLines="0" zoomScale="90" zoomScaleNormal="90" workbookViewId="0">
      <pane ySplit="5" topLeftCell="A33" activePane="bottomLeft" state="frozen"/>
      <selection pane="bottomLeft" activeCell="M50" sqref="E50:M50"/>
    </sheetView>
  </sheetViews>
  <sheetFormatPr defaultColWidth="9.140625" defaultRowHeight="12.75" x14ac:dyDescent="0.2"/>
  <cols>
    <col min="1" max="1" width="36.140625" style="24" bestFit="1" customWidth="1"/>
    <col min="2" max="2" width="12" style="20" bestFit="1" customWidth="1"/>
    <col min="3" max="3" width="20.85546875" style="20" customWidth="1"/>
    <col min="4" max="4" width="22.5703125" style="20" customWidth="1"/>
    <col min="5" max="5" width="21.140625" style="20" customWidth="1"/>
    <col min="6" max="6" width="11" style="21" bestFit="1" customWidth="1"/>
    <col min="7" max="7" width="7.28515625" style="21" bestFit="1" customWidth="1"/>
    <col min="8" max="8" width="9.5703125" style="21" bestFit="1" customWidth="1"/>
    <col min="9" max="9" width="5.7109375" style="21" customWidth="1"/>
    <col min="10" max="11" width="9.5703125" style="21" bestFit="1" customWidth="1"/>
    <col min="12" max="12" width="9.5703125" style="22" bestFit="1" customWidth="1"/>
    <col min="13" max="13" width="10.140625" style="23" bestFit="1" customWidth="1"/>
    <col min="14" max="14" width="11" style="23" bestFit="1" customWidth="1"/>
    <col min="15" max="17" width="11" style="24" bestFit="1" customWidth="1"/>
    <col min="18" max="18" width="13.5703125" style="24" bestFit="1" customWidth="1"/>
    <col min="19" max="19" width="11" style="24" bestFit="1" customWidth="1"/>
    <col min="20" max="21" width="11.140625" style="24" bestFit="1" customWidth="1"/>
    <col min="22" max="22" width="10.85546875" style="24" bestFit="1" customWidth="1"/>
    <col min="23" max="24" width="9.5703125" style="24" bestFit="1" customWidth="1"/>
    <col min="25" max="25" width="9.140625" style="24" bestFit="1" customWidth="1"/>
    <col min="26" max="26" width="8.5703125" style="24" bestFit="1" customWidth="1"/>
    <col min="27" max="27" width="8.85546875" style="24" bestFit="1" customWidth="1"/>
    <col min="28" max="31" width="9.5703125" style="24" bestFit="1" customWidth="1"/>
    <col min="32" max="16384" width="9.140625" style="24"/>
  </cols>
  <sheetData>
    <row r="1" spans="1:31" x14ac:dyDescent="0.2">
      <c r="A1" s="11" t="s">
        <v>6</v>
      </c>
    </row>
    <row r="2" spans="1:31" x14ac:dyDescent="0.2">
      <c r="A2" s="11" t="s">
        <v>56</v>
      </c>
      <c r="J2" s="120"/>
      <c r="K2" s="120"/>
      <c r="L2" s="121"/>
      <c r="M2" s="120"/>
    </row>
    <row r="3" spans="1:31" x14ac:dyDescent="0.2">
      <c r="A3" s="11"/>
      <c r="B3" s="25"/>
      <c r="C3" s="25"/>
      <c r="D3" s="25"/>
      <c r="E3" s="25"/>
      <c r="J3" s="120"/>
      <c r="K3" s="120"/>
      <c r="L3" s="120"/>
      <c r="M3" s="120"/>
    </row>
    <row r="4" spans="1:31" x14ac:dyDescent="0.2">
      <c r="B4" s="4"/>
      <c r="C4" s="4"/>
      <c r="D4" s="4"/>
      <c r="E4" s="4"/>
      <c r="J4" s="120"/>
      <c r="K4" s="120"/>
      <c r="L4" s="121"/>
      <c r="M4" s="122"/>
    </row>
    <row r="5" spans="1:31" x14ac:dyDescent="0.2">
      <c r="A5" s="26"/>
      <c r="B5" s="27"/>
      <c r="C5" s="27"/>
      <c r="D5" s="27"/>
      <c r="E5" s="28" t="s">
        <v>7</v>
      </c>
      <c r="F5" s="29" t="s">
        <v>8</v>
      </c>
      <c r="G5" s="29" t="s">
        <v>9</v>
      </c>
      <c r="H5" s="29" t="s">
        <v>10</v>
      </c>
      <c r="I5" s="29" t="s">
        <v>1</v>
      </c>
      <c r="J5" s="29" t="s">
        <v>11</v>
      </c>
      <c r="K5" s="29" t="s">
        <v>12</v>
      </c>
      <c r="L5" s="29" t="s">
        <v>13</v>
      </c>
      <c r="M5" s="29" t="s">
        <v>14</v>
      </c>
      <c r="N5" s="29" t="s">
        <v>15</v>
      </c>
      <c r="O5" s="29" t="s">
        <v>16</v>
      </c>
      <c r="P5" s="29" t="s">
        <v>17</v>
      </c>
      <c r="Q5" s="30">
        <v>45292</v>
      </c>
      <c r="R5" s="30">
        <v>45323</v>
      </c>
      <c r="S5" s="30">
        <v>45352</v>
      </c>
      <c r="T5" s="30">
        <v>45383</v>
      </c>
      <c r="U5" s="30">
        <v>45413</v>
      </c>
      <c r="V5" s="30">
        <v>45444</v>
      </c>
      <c r="W5" s="30">
        <v>45474</v>
      </c>
      <c r="X5" s="30">
        <v>45505</v>
      </c>
      <c r="Y5" s="30">
        <v>45536</v>
      </c>
      <c r="Z5" s="30">
        <v>45566</v>
      </c>
      <c r="AA5" s="30">
        <v>45597</v>
      </c>
      <c r="AB5" s="30">
        <v>45627</v>
      </c>
      <c r="AC5" s="30">
        <v>45658</v>
      </c>
      <c r="AD5" s="30">
        <v>45689</v>
      </c>
      <c r="AE5" s="30">
        <v>45717</v>
      </c>
    </row>
    <row r="6" spans="1:31" x14ac:dyDescent="0.2">
      <c r="A6" s="31" t="s">
        <v>26</v>
      </c>
      <c r="B6" s="12" t="s">
        <v>41</v>
      </c>
      <c r="C6" s="12" t="s">
        <v>40</v>
      </c>
      <c r="D6" s="32" t="s">
        <v>27</v>
      </c>
      <c r="E6" s="32"/>
      <c r="F6" s="5"/>
      <c r="G6" s="14"/>
      <c r="H6" s="14"/>
      <c r="I6" s="5"/>
      <c r="J6" s="14"/>
      <c r="K6" s="5"/>
      <c r="L6" s="33"/>
      <c r="M6" s="34"/>
      <c r="N6" s="34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pans="1:31" x14ac:dyDescent="0.2">
      <c r="A7" s="36" t="s">
        <v>20</v>
      </c>
      <c r="B7" s="127">
        <f>E7</f>
        <v>355000</v>
      </c>
      <c r="C7" s="127">
        <f>B7*1.2</f>
        <v>426000</v>
      </c>
      <c r="D7" s="56" t="str">
        <f>A7</f>
        <v>Project Approval</v>
      </c>
      <c r="E7" s="17">
        <v>355000</v>
      </c>
      <c r="F7" s="17"/>
      <c r="G7" s="17"/>
      <c r="H7" s="17"/>
      <c r="I7" s="17"/>
      <c r="J7" s="17"/>
      <c r="K7" s="17"/>
      <c r="L7" s="37"/>
      <c r="M7" s="38"/>
      <c r="N7" s="38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31" x14ac:dyDescent="0.2">
      <c r="A8" s="36" t="s">
        <v>21</v>
      </c>
      <c r="B8" s="127">
        <f>E8</f>
        <v>269842.5</v>
      </c>
      <c r="C8" s="127">
        <f>B8*1.2</f>
        <v>323811</v>
      </c>
      <c r="D8" s="56" t="str">
        <f>A8</f>
        <v>Out to tender</v>
      </c>
      <c r="E8" s="17">
        <v>269842.5</v>
      </c>
      <c r="F8" s="17"/>
      <c r="G8" s="17"/>
      <c r="H8" s="17"/>
      <c r="I8" s="17"/>
      <c r="J8" s="17"/>
      <c r="K8" s="17"/>
      <c r="L8" s="37"/>
      <c r="M8" s="38"/>
      <c r="N8" s="38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pans="1:31" x14ac:dyDescent="0.2">
      <c r="A9" s="36" t="s">
        <v>22</v>
      </c>
      <c r="B9" s="127">
        <f>SUM(F9:J9)</f>
        <v>472485.83</v>
      </c>
      <c r="C9" s="127">
        <f>B9*1.2</f>
        <v>566982.99600000004</v>
      </c>
      <c r="D9" s="56" t="str">
        <f>A9</f>
        <v>Tenders returned</v>
      </c>
      <c r="E9" s="15"/>
      <c r="F9" s="17"/>
      <c r="G9" s="17"/>
      <c r="H9" s="17">
        <v>472485.83</v>
      </c>
      <c r="I9" s="17"/>
      <c r="J9" s="17"/>
      <c r="K9" s="17"/>
      <c r="L9" s="37"/>
      <c r="M9" s="38"/>
      <c r="N9" s="38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x14ac:dyDescent="0.2">
      <c r="A10" s="49"/>
      <c r="B10" s="57"/>
      <c r="C10" s="57"/>
      <c r="D10" s="57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</row>
    <row r="11" spans="1:31" ht="25.5" x14ac:dyDescent="0.2">
      <c r="A11" s="62" t="s">
        <v>45</v>
      </c>
      <c r="B11" s="123">
        <f>SUM(F11:J11)</f>
        <v>3694180</v>
      </c>
      <c r="C11" s="123">
        <f>B11*1.2</f>
        <v>4433016</v>
      </c>
      <c r="D11" s="65" t="s">
        <v>47</v>
      </c>
      <c r="E11" s="13"/>
      <c r="F11" s="17">
        <v>3694180</v>
      </c>
      <c r="G11" s="17"/>
      <c r="H11" s="17"/>
      <c r="I11" s="17"/>
      <c r="J11" s="17"/>
      <c r="K11" s="17"/>
      <c r="L11" s="37"/>
      <c r="M11" s="38"/>
      <c r="N11" s="38"/>
      <c r="O11" s="19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pans="1:31" x14ac:dyDescent="0.2">
      <c r="A12" s="50"/>
      <c r="B12" s="58"/>
      <c r="C12" s="58"/>
      <c r="D12" s="58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</row>
    <row r="13" spans="1:31" x14ac:dyDescent="0.2">
      <c r="A13" s="17" t="s">
        <v>34</v>
      </c>
      <c r="B13" s="123">
        <f>SUM(E13:AE13)</f>
        <v>355045</v>
      </c>
      <c r="C13" s="123">
        <f>B13*1.2</f>
        <v>426054</v>
      </c>
      <c r="D13" s="17" t="s">
        <v>46</v>
      </c>
      <c r="E13" s="16"/>
      <c r="F13" s="16"/>
      <c r="G13" s="16"/>
      <c r="H13" s="16"/>
      <c r="I13" s="16"/>
      <c r="J13" s="17"/>
      <c r="K13" s="17">
        <v>177522.5</v>
      </c>
      <c r="L13" s="17"/>
      <c r="M13" s="17">
        <v>177522.5</v>
      </c>
      <c r="N13" s="16"/>
      <c r="O13" s="16"/>
      <c r="P13" s="16"/>
      <c r="Q13" s="16"/>
      <c r="R13" s="16"/>
      <c r="S13" s="16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pans="1:31" x14ac:dyDescent="0.2">
      <c r="A14" s="18"/>
      <c r="B14" s="59"/>
      <c r="C14" s="59"/>
      <c r="D14" s="59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pans="1:31" x14ac:dyDescent="0.2">
      <c r="A15" s="162" t="s">
        <v>23</v>
      </c>
      <c r="B15" s="164">
        <f>SUM(E15:AE37)</f>
        <v>10620970</v>
      </c>
      <c r="C15" s="164">
        <f>B15*1.2</f>
        <v>12745164</v>
      </c>
      <c r="D15" s="60" t="s">
        <v>33</v>
      </c>
      <c r="E15" s="16"/>
      <c r="F15" s="16"/>
      <c r="G15" s="16"/>
      <c r="H15" s="16"/>
      <c r="I15" s="16"/>
      <c r="J15" s="17"/>
      <c r="K15" s="17">
        <v>22260</v>
      </c>
      <c r="L15" s="37"/>
      <c r="M15" s="38"/>
      <c r="N15" s="38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31" ht="25.5" customHeight="1" x14ac:dyDescent="0.2">
      <c r="A16" s="163"/>
      <c r="B16" s="165"/>
      <c r="C16" s="165"/>
      <c r="D16" s="60" t="s">
        <v>30</v>
      </c>
      <c r="E16" s="16"/>
      <c r="F16" s="16"/>
      <c r="G16" s="16"/>
      <c r="H16" s="16"/>
      <c r="I16" s="16"/>
      <c r="J16" s="17"/>
      <c r="K16" s="17">
        <v>163090</v>
      </c>
      <c r="L16" s="37"/>
      <c r="M16" s="38"/>
      <c r="N16" s="38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ht="25.5" x14ac:dyDescent="0.2">
      <c r="A17" s="163"/>
      <c r="B17" s="165"/>
      <c r="C17" s="165"/>
      <c r="D17" s="60" t="s">
        <v>31</v>
      </c>
      <c r="E17" s="16"/>
      <c r="F17" s="16"/>
      <c r="G17" s="16"/>
      <c r="H17" s="16"/>
      <c r="I17" s="16"/>
      <c r="J17" s="16"/>
      <c r="K17" s="16"/>
      <c r="L17" s="37"/>
      <c r="M17" s="38"/>
      <c r="N17" s="38"/>
      <c r="O17" s="19"/>
      <c r="P17" s="19">
        <v>35550</v>
      </c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ht="39" customHeight="1" x14ac:dyDescent="0.2">
      <c r="A18" s="163"/>
      <c r="B18" s="165"/>
      <c r="C18" s="165"/>
      <c r="D18" s="164" t="s">
        <v>18</v>
      </c>
      <c r="E18" s="60" t="s">
        <v>57</v>
      </c>
      <c r="F18" s="15"/>
      <c r="G18" s="17"/>
      <c r="H18" s="17"/>
      <c r="I18" s="17"/>
      <c r="J18" s="17"/>
      <c r="K18" s="17"/>
      <c r="L18" s="17"/>
      <c r="M18" s="37"/>
      <c r="N18" s="38"/>
      <c r="O18" s="38"/>
      <c r="P18" s="19"/>
      <c r="Q18" s="38"/>
      <c r="R18" s="38">
        <v>53612</v>
      </c>
      <c r="S18" s="38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ht="26.1" customHeight="1" x14ac:dyDescent="0.2">
      <c r="A19" s="163"/>
      <c r="B19" s="165"/>
      <c r="C19" s="165"/>
      <c r="D19" s="165"/>
      <c r="E19" s="60" t="s">
        <v>58</v>
      </c>
      <c r="F19" s="15"/>
      <c r="G19" s="17"/>
      <c r="H19" s="17"/>
      <c r="I19" s="17"/>
      <c r="J19" s="17"/>
      <c r="K19" s="17"/>
      <c r="L19" s="17"/>
      <c r="M19" s="37"/>
      <c r="N19" s="38"/>
      <c r="O19" s="38"/>
      <c r="P19" s="19"/>
      <c r="Q19" s="38">
        <v>4066</v>
      </c>
      <c r="R19" s="38"/>
      <c r="S19" s="38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ht="39" customHeight="1" x14ac:dyDescent="0.2">
      <c r="A20" s="163"/>
      <c r="B20" s="165"/>
      <c r="C20" s="165"/>
      <c r="D20" s="180"/>
      <c r="E20" s="60" t="s">
        <v>59</v>
      </c>
      <c r="F20" s="15"/>
      <c r="G20" s="17"/>
      <c r="H20" s="17"/>
      <c r="I20" s="17"/>
      <c r="J20" s="17"/>
      <c r="K20" s="17"/>
      <c r="L20" s="17"/>
      <c r="M20" s="37"/>
      <c r="N20" s="38"/>
      <c r="O20" s="38"/>
      <c r="P20" s="19"/>
      <c r="Q20" s="38"/>
      <c r="R20" s="38">
        <v>17400</v>
      </c>
      <c r="S20" s="38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ht="51" x14ac:dyDescent="0.2">
      <c r="A21" s="163"/>
      <c r="B21" s="165"/>
      <c r="C21" s="165"/>
      <c r="D21" s="181" t="s">
        <v>19</v>
      </c>
      <c r="E21" s="60" t="s">
        <v>60</v>
      </c>
      <c r="F21" s="16"/>
      <c r="G21" s="16"/>
      <c r="H21" s="16"/>
      <c r="I21" s="16"/>
      <c r="J21" s="16"/>
      <c r="K21" s="16"/>
      <c r="L21" s="37"/>
      <c r="M21" s="38"/>
      <c r="N21" s="38"/>
      <c r="O21" s="38">
        <v>922195</v>
      </c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ht="38.25" x14ac:dyDescent="0.2">
      <c r="A22" s="163"/>
      <c r="B22" s="165"/>
      <c r="C22" s="165"/>
      <c r="D22" s="182"/>
      <c r="E22" s="60" t="s">
        <v>61</v>
      </c>
      <c r="F22" s="16"/>
      <c r="G22" s="16"/>
      <c r="H22" s="16"/>
      <c r="I22" s="16"/>
      <c r="J22" s="16"/>
      <c r="K22" s="16"/>
      <c r="L22" s="37"/>
      <c r="M22" s="38"/>
      <c r="N22" s="38"/>
      <c r="O22" s="19"/>
      <c r="P22" s="19">
        <v>461097.5</v>
      </c>
      <c r="Q22" s="19">
        <v>461097.5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ht="51" x14ac:dyDescent="0.2">
      <c r="A23" s="163"/>
      <c r="B23" s="165"/>
      <c r="C23" s="165"/>
      <c r="D23" s="182"/>
      <c r="E23" s="60" t="s">
        <v>62</v>
      </c>
      <c r="F23" s="16"/>
      <c r="G23" s="16"/>
      <c r="H23" s="16"/>
      <c r="I23" s="16"/>
      <c r="J23" s="16"/>
      <c r="K23" s="16"/>
      <c r="L23" s="37"/>
      <c r="M23" s="38"/>
      <c r="N23" s="38"/>
      <c r="O23" s="19">
        <v>922195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ht="25.5" x14ac:dyDescent="0.2">
      <c r="A24" s="163"/>
      <c r="B24" s="165"/>
      <c r="C24" s="165"/>
      <c r="D24" s="182"/>
      <c r="E24" s="60" t="s">
        <v>63</v>
      </c>
      <c r="F24" s="16"/>
      <c r="G24" s="16"/>
      <c r="H24" s="16"/>
      <c r="I24" s="16"/>
      <c r="J24" s="16"/>
      <c r="K24" s="16"/>
      <c r="L24" s="37"/>
      <c r="M24" s="38"/>
      <c r="N24" s="38"/>
      <c r="O24" s="19">
        <v>922195</v>
      </c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ht="25.5" x14ac:dyDescent="0.2">
      <c r="A25" s="163"/>
      <c r="B25" s="165"/>
      <c r="C25" s="165"/>
      <c r="D25" s="182"/>
      <c r="E25" s="60" t="s">
        <v>64</v>
      </c>
      <c r="F25" s="16"/>
      <c r="G25" s="16"/>
      <c r="H25" s="16"/>
      <c r="I25" s="16"/>
      <c r="J25" s="16"/>
      <c r="K25" s="16"/>
      <c r="L25" s="37"/>
      <c r="M25" s="38"/>
      <c r="N25" s="38"/>
      <c r="O25" s="19"/>
      <c r="P25" s="19">
        <v>368878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ht="25.5" x14ac:dyDescent="0.2">
      <c r="A26" s="163"/>
      <c r="B26" s="165"/>
      <c r="C26" s="165"/>
      <c r="D26" s="182"/>
      <c r="E26" s="60" t="s">
        <v>65</v>
      </c>
      <c r="F26" s="16"/>
      <c r="G26" s="16"/>
      <c r="H26" s="16"/>
      <c r="I26" s="16"/>
      <c r="J26" s="16"/>
      <c r="K26" s="16"/>
      <c r="L26" s="37"/>
      <c r="M26" s="38"/>
      <c r="N26" s="38"/>
      <c r="O26" s="19"/>
      <c r="P26" s="19">
        <v>368878</v>
      </c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ht="25.5" x14ac:dyDescent="0.2">
      <c r="A27" s="163"/>
      <c r="B27" s="165"/>
      <c r="C27" s="165"/>
      <c r="D27" s="182"/>
      <c r="E27" s="60" t="s">
        <v>66</v>
      </c>
      <c r="F27" s="16"/>
      <c r="G27" s="16"/>
      <c r="H27" s="16"/>
      <c r="I27" s="16"/>
      <c r="J27" s="16"/>
      <c r="K27" s="16"/>
      <c r="L27" s="37"/>
      <c r="M27" s="38"/>
      <c r="N27" s="38"/>
      <c r="O27" s="19"/>
      <c r="P27" s="19">
        <v>368878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ht="25.5" x14ac:dyDescent="0.2">
      <c r="A28" s="163"/>
      <c r="B28" s="165"/>
      <c r="C28" s="165"/>
      <c r="D28" s="182"/>
      <c r="E28" s="60" t="s">
        <v>67</v>
      </c>
      <c r="F28" s="16"/>
      <c r="G28" s="16"/>
      <c r="H28" s="16"/>
      <c r="I28" s="16"/>
      <c r="J28" s="16"/>
      <c r="K28" s="16"/>
      <c r="L28" s="37"/>
      <c r="M28" s="38"/>
      <c r="N28" s="38"/>
      <c r="O28" s="19"/>
      <c r="P28" s="19">
        <v>368878</v>
      </c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ht="38.25" x14ac:dyDescent="0.2">
      <c r="A29" s="163"/>
      <c r="B29" s="165"/>
      <c r="C29" s="165"/>
      <c r="D29" s="182"/>
      <c r="E29" s="60" t="s">
        <v>68</v>
      </c>
      <c r="F29" s="16"/>
      <c r="G29" s="16"/>
      <c r="H29" s="16"/>
      <c r="I29" s="16"/>
      <c r="J29" s="16"/>
      <c r="K29" s="16"/>
      <c r="L29" s="37"/>
      <c r="M29" s="38"/>
      <c r="N29" s="38"/>
      <c r="O29" s="19"/>
      <c r="P29" s="19">
        <v>368878</v>
      </c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ht="38.25" x14ac:dyDescent="0.2">
      <c r="A30" s="163"/>
      <c r="B30" s="165"/>
      <c r="C30" s="165"/>
      <c r="D30" s="182"/>
      <c r="E30" s="60" t="s">
        <v>69</v>
      </c>
      <c r="F30" s="16"/>
      <c r="G30" s="16"/>
      <c r="H30" s="16"/>
      <c r="I30" s="16"/>
      <c r="J30" s="16"/>
      <c r="K30" s="16"/>
      <c r="L30" s="37"/>
      <c r="M30" s="38"/>
      <c r="N30" s="38"/>
      <c r="O30" s="19"/>
      <c r="P30" s="19"/>
      <c r="Q30" s="19">
        <v>770818</v>
      </c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ht="38.25" x14ac:dyDescent="0.2">
      <c r="A31" s="163"/>
      <c r="B31" s="165"/>
      <c r="C31" s="165"/>
      <c r="D31" s="182"/>
      <c r="E31" s="60" t="s">
        <v>70</v>
      </c>
      <c r="F31" s="16"/>
      <c r="G31" s="16"/>
      <c r="H31" s="16"/>
      <c r="I31" s="16"/>
      <c r="J31" s="16"/>
      <c r="K31" s="16"/>
      <c r="L31" s="37"/>
      <c r="M31" s="38"/>
      <c r="N31" s="38"/>
      <c r="O31" s="19"/>
      <c r="P31" s="19"/>
      <c r="Q31" s="19">
        <v>770818</v>
      </c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ht="25.5" x14ac:dyDescent="0.2">
      <c r="A32" s="163"/>
      <c r="B32" s="165"/>
      <c r="C32" s="165"/>
      <c r="D32" s="182"/>
      <c r="E32" s="60" t="s">
        <v>71</v>
      </c>
      <c r="F32" s="16"/>
      <c r="G32" s="16"/>
      <c r="H32" s="16"/>
      <c r="I32" s="16"/>
      <c r="J32" s="16"/>
      <c r="K32" s="16"/>
      <c r="L32" s="37"/>
      <c r="M32" s="38"/>
      <c r="N32" s="38"/>
      <c r="O32" s="19"/>
      <c r="P32" s="19"/>
      <c r="Q32" s="19"/>
      <c r="R32" s="19">
        <v>733279</v>
      </c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ht="38.25" x14ac:dyDescent="0.2">
      <c r="A33" s="163"/>
      <c r="B33" s="165"/>
      <c r="C33" s="165"/>
      <c r="D33" s="182"/>
      <c r="E33" s="60" t="s">
        <v>72</v>
      </c>
      <c r="F33" s="16"/>
      <c r="G33" s="16"/>
      <c r="H33" s="16"/>
      <c r="I33" s="16"/>
      <c r="J33" s="16"/>
      <c r="K33" s="16"/>
      <c r="L33" s="37"/>
      <c r="M33" s="38"/>
      <c r="N33" s="38"/>
      <c r="O33" s="19"/>
      <c r="P33" s="19"/>
      <c r="Q33" s="19"/>
      <c r="R33" s="19">
        <v>770818</v>
      </c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ht="38.25" x14ac:dyDescent="0.2">
      <c r="A34" s="163"/>
      <c r="B34" s="165"/>
      <c r="C34" s="165"/>
      <c r="D34" s="182"/>
      <c r="E34" s="60" t="s">
        <v>73</v>
      </c>
      <c r="F34" s="16"/>
      <c r="G34" s="16"/>
      <c r="H34" s="16"/>
      <c r="I34" s="16"/>
      <c r="J34" s="16"/>
      <c r="K34" s="16"/>
      <c r="L34" s="37"/>
      <c r="M34" s="38"/>
      <c r="N34" s="38"/>
      <c r="O34" s="19"/>
      <c r="P34" s="19"/>
      <c r="Q34" s="19"/>
      <c r="R34" s="19"/>
      <c r="S34" s="19">
        <v>1341639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ht="38.25" x14ac:dyDescent="0.2">
      <c r="A35" s="163"/>
      <c r="B35" s="165"/>
      <c r="C35" s="165"/>
      <c r="D35" s="181" t="s">
        <v>32</v>
      </c>
      <c r="E35" s="75" t="s">
        <v>74</v>
      </c>
      <c r="F35" s="16"/>
      <c r="G35" s="16"/>
      <c r="H35" s="16"/>
      <c r="I35" s="16"/>
      <c r="J35" s="16"/>
      <c r="K35" s="16"/>
      <c r="L35" s="37"/>
      <c r="M35" s="38"/>
      <c r="N35" s="38"/>
      <c r="O35" s="19"/>
      <c r="P35" s="19"/>
      <c r="Q35" s="19">
        <v>268150</v>
      </c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ht="39.75" customHeight="1" x14ac:dyDescent="0.2">
      <c r="A36" s="163"/>
      <c r="B36" s="165"/>
      <c r="C36" s="165"/>
      <c r="D36" s="182"/>
      <c r="E36" s="75" t="s">
        <v>75</v>
      </c>
      <c r="F36" s="16"/>
      <c r="G36" s="16"/>
      <c r="H36" s="16"/>
      <c r="I36" s="16"/>
      <c r="J36" s="16"/>
      <c r="K36" s="16"/>
      <c r="L36" s="37"/>
      <c r="M36" s="38"/>
      <c r="N36" s="38"/>
      <c r="O36" s="19"/>
      <c r="P36" s="19"/>
      <c r="Q36" s="19"/>
      <c r="R36" s="19">
        <v>68150</v>
      </c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ht="48" customHeight="1" x14ac:dyDescent="0.2">
      <c r="A37" s="173"/>
      <c r="B37" s="180"/>
      <c r="C37" s="180"/>
      <c r="D37" s="183"/>
      <c r="E37" s="75" t="s">
        <v>76</v>
      </c>
      <c r="F37" s="16"/>
      <c r="G37" s="16"/>
      <c r="H37" s="16"/>
      <c r="I37" s="16"/>
      <c r="J37" s="16"/>
      <c r="K37" s="16"/>
      <c r="L37" s="37"/>
      <c r="M37" s="38"/>
      <c r="N37" s="38"/>
      <c r="O37" s="19"/>
      <c r="P37" s="19"/>
      <c r="Q37" s="19"/>
      <c r="R37" s="19"/>
      <c r="S37" s="19">
        <v>68150</v>
      </c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x14ac:dyDescent="0.2">
      <c r="A38" s="174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6"/>
    </row>
    <row r="39" spans="1:31" x14ac:dyDescent="0.2">
      <c r="A39" s="42" t="s">
        <v>51</v>
      </c>
      <c r="B39" s="115">
        <v>49370</v>
      </c>
      <c r="C39" s="61">
        <f>B39*1.2</f>
        <v>59244</v>
      </c>
      <c r="D39" s="109" t="s">
        <v>51</v>
      </c>
      <c r="E39" s="110"/>
      <c r="F39" s="101"/>
      <c r="G39" s="101"/>
      <c r="H39" s="101"/>
      <c r="I39" s="101"/>
      <c r="J39" s="101"/>
      <c r="K39" s="101">
        <v>49370</v>
      </c>
      <c r="L39" s="111"/>
      <c r="M39" s="112"/>
      <c r="N39" s="101"/>
      <c r="O39" s="113"/>
      <c r="P39" s="114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</row>
    <row r="40" spans="1:31" x14ac:dyDescent="0.2">
      <c r="A40" s="177"/>
      <c r="B40" s="178"/>
      <c r="C40" s="179"/>
      <c r="D40" s="103"/>
      <c r="E40" s="104"/>
      <c r="F40" s="103"/>
      <c r="G40" s="103"/>
      <c r="H40" s="103"/>
      <c r="I40" s="103"/>
      <c r="J40" s="103"/>
      <c r="K40" s="103"/>
      <c r="L40" s="105"/>
      <c r="M40" s="106"/>
      <c r="N40" s="103"/>
      <c r="O40" s="107"/>
      <c r="P40" s="108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</row>
    <row r="41" spans="1:31" x14ac:dyDescent="0.2">
      <c r="A41" s="100" t="s">
        <v>53</v>
      </c>
      <c r="B41" s="102">
        <v>300000</v>
      </c>
      <c r="C41" s="61">
        <f>B41*1.2</f>
        <v>360000</v>
      </c>
      <c r="D41" s="56" t="s">
        <v>53</v>
      </c>
      <c r="E41" s="15"/>
      <c r="F41" s="17"/>
      <c r="G41" s="17"/>
      <c r="H41" s="17"/>
      <c r="I41" s="17"/>
      <c r="J41" s="17"/>
      <c r="K41" s="97"/>
      <c r="L41" s="98"/>
      <c r="M41" s="99"/>
      <c r="N41" s="17"/>
      <c r="O41" s="19">
        <v>250000</v>
      </c>
      <c r="P41" s="40">
        <v>50000</v>
      </c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2"/>
    </row>
    <row r="43" spans="1:31" x14ac:dyDescent="0.2">
      <c r="A43" s="42" t="s">
        <v>28</v>
      </c>
      <c r="B43" s="56">
        <f>SUM(E43:AE43)</f>
        <v>249910</v>
      </c>
      <c r="C43" s="61">
        <f>B43*1.2</f>
        <v>299892</v>
      </c>
      <c r="D43" s="56" t="str">
        <f>A43</f>
        <v>Completed on site</v>
      </c>
      <c r="E43" s="15"/>
      <c r="F43" s="16"/>
      <c r="G43" s="16"/>
      <c r="H43" s="16"/>
      <c r="I43" s="16"/>
      <c r="J43" s="16"/>
      <c r="K43" s="16"/>
      <c r="L43" s="37"/>
      <c r="M43" s="38"/>
      <c r="N43" s="38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>
        <v>249910</v>
      </c>
      <c r="AC43" s="19"/>
      <c r="AD43" s="19"/>
      <c r="AE43" s="19"/>
    </row>
    <row r="44" spans="1:31" x14ac:dyDescent="0.2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5"/>
    </row>
    <row r="45" spans="1:31" x14ac:dyDescent="0.2">
      <c r="A45" s="42" t="s">
        <v>29</v>
      </c>
      <c r="B45" s="61">
        <f>SUM(E45:AE45)</f>
        <v>464010.83999999997</v>
      </c>
      <c r="C45" s="56">
        <f>B45*1.2</f>
        <v>556813.00799999991</v>
      </c>
      <c r="D45" s="56" t="str">
        <f>A45</f>
        <v>Final commissioning</v>
      </c>
      <c r="E45" s="15"/>
      <c r="F45" s="16"/>
      <c r="G45" s="16"/>
      <c r="H45" s="16"/>
      <c r="I45" s="16"/>
      <c r="J45" s="16"/>
      <c r="K45" s="16"/>
      <c r="L45" s="37"/>
      <c r="M45" s="38"/>
      <c r="N45" s="38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>
        <v>154670.28</v>
      </c>
      <c r="AD45" s="19">
        <v>154670.28</v>
      </c>
      <c r="AE45" s="19">
        <v>154670.28</v>
      </c>
    </row>
    <row r="46" spans="1:31" x14ac:dyDescent="0.2">
      <c r="A46" s="69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1"/>
    </row>
    <row r="47" spans="1:31" s="43" customFormat="1" x14ac:dyDescent="0.25">
      <c r="E47" s="16"/>
      <c r="F47" s="16"/>
      <c r="G47" s="16"/>
      <c r="H47" s="16"/>
      <c r="I47" s="16"/>
      <c r="J47" s="16"/>
      <c r="K47" s="16"/>
      <c r="L47" s="42"/>
      <c r="M47" s="56"/>
      <c r="N47" s="56"/>
      <c r="O47" s="42"/>
      <c r="P47" s="42"/>
      <c r="Q47" s="42"/>
      <c r="R47" s="42"/>
      <c r="S47" s="42"/>
      <c r="T47" s="90"/>
      <c r="U47" s="90"/>
      <c r="V47" s="90"/>
      <c r="W47" s="42"/>
      <c r="X47" s="42"/>
      <c r="Y47" s="42"/>
      <c r="Z47" s="42"/>
      <c r="AA47" s="42"/>
      <c r="AB47" s="42"/>
      <c r="AC47" s="42"/>
      <c r="AD47" s="42"/>
      <c r="AE47" s="42"/>
    </row>
    <row r="48" spans="1:31" s="43" customFormat="1" x14ac:dyDescent="0.2">
      <c r="B48" s="4"/>
      <c r="C48" s="4"/>
      <c r="D48" s="4"/>
      <c r="E48" s="6" t="s">
        <v>7</v>
      </c>
      <c r="F48" s="6" t="s">
        <v>8</v>
      </c>
      <c r="G48" s="7" t="s">
        <v>24</v>
      </c>
      <c r="H48" s="6" t="s">
        <v>0</v>
      </c>
      <c r="I48" s="6" t="s">
        <v>1</v>
      </c>
      <c r="J48" s="7" t="s">
        <v>2</v>
      </c>
      <c r="K48" s="6" t="s">
        <v>3</v>
      </c>
      <c r="L48" s="6" t="s">
        <v>13</v>
      </c>
      <c r="M48" s="7" t="s">
        <v>25</v>
      </c>
      <c r="N48" s="6" t="s">
        <v>15</v>
      </c>
      <c r="O48" s="6" t="s">
        <v>16</v>
      </c>
      <c r="P48" s="7" t="s">
        <v>17</v>
      </c>
      <c r="Q48" s="45" t="s">
        <v>7</v>
      </c>
      <c r="R48" s="45" t="s">
        <v>8</v>
      </c>
      <c r="S48" s="45" t="s">
        <v>24</v>
      </c>
      <c r="T48" s="45" t="s">
        <v>0</v>
      </c>
      <c r="U48" s="45" t="s">
        <v>1</v>
      </c>
      <c r="V48" s="45" t="s">
        <v>2</v>
      </c>
      <c r="W48" s="45" t="s">
        <v>3</v>
      </c>
      <c r="X48" s="45" t="s">
        <v>4</v>
      </c>
      <c r="Y48" s="45" t="s">
        <v>5</v>
      </c>
      <c r="Z48" s="45" t="s">
        <v>35</v>
      </c>
      <c r="AA48" s="45" t="s">
        <v>36</v>
      </c>
      <c r="AB48" s="45" t="s">
        <v>37</v>
      </c>
      <c r="AC48" s="45" t="s">
        <v>38</v>
      </c>
      <c r="AD48" s="45" t="s">
        <v>39</v>
      </c>
      <c r="AE48" s="45" t="s">
        <v>24</v>
      </c>
    </row>
    <row r="49" spans="1:31" s="43" customFormat="1" x14ac:dyDescent="0.25">
      <c r="A49" s="46"/>
      <c r="B49" s="8"/>
      <c r="C49" s="8"/>
      <c r="D49" s="8"/>
      <c r="E49" s="2"/>
      <c r="F49" s="2"/>
      <c r="G49" s="3"/>
      <c r="H49" s="2"/>
      <c r="I49" s="2"/>
      <c r="J49" s="2"/>
      <c r="K49" s="2"/>
      <c r="M49" s="44"/>
      <c r="N49" s="44"/>
    </row>
    <row r="50" spans="1:31" x14ac:dyDescent="0.2">
      <c r="A50" s="47" t="s">
        <v>77</v>
      </c>
      <c r="B50" s="116">
        <f>B7+B8+B9+B11+B13+B15+B39+B41+B43+B45</f>
        <v>16830814.170000002</v>
      </c>
      <c r="C50" s="9">
        <f>B50*1.2</f>
        <v>20196977.004000001</v>
      </c>
      <c r="D50" s="63" t="s">
        <v>43</v>
      </c>
      <c r="E50" s="10">
        <f t="shared" ref="E50:AE50" si="0">SUM(E7:E45)</f>
        <v>624842.5</v>
      </c>
      <c r="F50" s="10">
        <f t="shared" si="0"/>
        <v>3694180</v>
      </c>
      <c r="G50" s="10">
        <f t="shared" si="0"/>
        <v>0</v>
      </c>
      <c r="H50" s="10">
        <f t="shared" si="0"/>
        <v>472485.83</v>
      </c>
      <c r="I50" s="10">
        <f t="shared" si="0"/>
        <v>0</v>
      </c>
      <c r="J50" s="10">
        <f t="shared" si="0"/>
        <v>0</v>
      </c>
      <c r="K50" s="10">
        <f>SUM(K7:K45)</f>
        <v>412242.5</v>
      </c>
      <c r="L50" s="10">
        <f t="shared" si="0"/>
        <v>0</v>
      </c>
      <c r="M50" s="10">
        <f t="shared" si="0"/>
        <v>177522.5</v>
      </c>
      <c r="N50" s="10">
        <f t="shared" si="0"/>
        <v>0</v>
      </c>
      <c r="O50" s="10">
        <f t="shared" si="0"/>
        <v>3016585</v>
      </c>
      <c r="P50" s="10">
        <f t="shared" si="0"/>
        <v>2391037.5</v>
      </c>
      <c r="Q50" s="10">
        <f t="shared" si="0"/>
        <v>2274949.5</v>
      </c>
      <c r="R50" s="10">
        <f t="shared" si="0"/>
        <v>1643259</v>
      </c>
      <c r="S50" s="10">
        <f t="shared" si="0"/>
        <v>1409789</v>
      </c>
      <c r="T50" s="10">
        <f t="shared" si="0"/>
        <v>0</v>
      </c>
      <c r="U50" s="10">
        <f t="shared" si="0"/>
        <v>0</v>
      </c>
      <c r="V50" s="10">
        <f t="shared" si="0"/>
        <v>0</v>
      </c>
      <c r="W50" s="10">
        <f t="shared" si="0"/>
        <v>0</v>
      </c>
      <c r="X50" s="10">
        <f t="shared" si="0"/>
        <v>0</v>
      </c>
      <c r="Y50" s="10">
        <f t="shared" si="0"/>
        <v>0</v>
      </c>
      <c r="Z50" s="10">
        <f t="shared" si="0"/>
        <v>0</v>
      </c>
      <c r="AA50" s="10">
        <f t="shared" si="0"/>
        <v>0</v>
      </c>
      <c r="AB50" s="10">
        <f t="shared" si="0"/>
        <v>249910</v>
      </c>
      <c r="AC50" s="10">
        <f t="shared" si="0"/>
        <v>154670.28</v>
      </c>
      <c r="AD50" s="10">
        <f t="shared" si="0"/>
        <v>154670.28</v>
      </c>
      <c r="AE50" s="10">
        <f t="shared" si="0"/>
        <v>154670.28</v>
      </c>
    </row>
    <row r="51" spans="1:31" x14ac:dyDescent="0.2">
      <c r="A51" s="47"/>
      <c r="B51" s="9"/>
      <c r="C51" s="9"/>
      <c r="E51" s="2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x14ac:dyDescent="0.2">
      <c r="A52" s="47"/>
      <c r="B52" s="9"/>
      <c r="C52" s="9"/>
      <c r="D52" s="63" t="s">
        <v>42</v>
      </c>
      <c r="E52" s="1">
        <f>E50*20%</f>
        <v>124968.5</v>
      </c>
      <c r="F52" s="1">
        <f t="shared" ref="F52:S52" si="1">F50*20%</f>
        <v>738836</v>
      </c>
      <c r="G52" s="1">
        <f t="shared" si="1"/>
        <v>0</v>
      </c>
      <c r="H52" s="1">
        <f t="shared" si="1"/>
        <v>94497.166000000012</v>
      </c>
      <c r="I52" s="1">
        <f t="shared" si="1"/>
        <v>0</v>
      </c>
      <c r="J52" s="1">
        <f t="shared" si="1"/>
        <v>0</v>
      </c>
      <c r="K52" s="1">
        <f t="shared" si="1"/>
        <v>82448.5</v>
      </c>
      <c r="L52" s="1">
        <f t="shared" si="1"/>
        <v>0</v>
      </c>
      <c r="M52" s="1">
        <f t="shared" si="1"/>
        <v>35504.5</v>
      </c>
      <c r="N52" s="1">
        <f t="shared" si="1"/>
        <v>0</v>
      </c>
      <c r="O52" s="1">
        <f t="shared" si="1"/>
        <v>603317</v>
      </c>
      <c r="P52" s="1">
        <f t="shared" si="1"/>
        <v>478207.5</v>
      </c>
      <c r="Q52" s="1">
        <f t="shared" si="1"/>
        <v>454989.9</v>
      </c>
      <c r="R52" s="1">
        <f t="shared" si="1"/>
        <v>328651.80000000005</v>
      </c>
      <c r="S52" s="1">
        <f t="shared" si="1"/>
        <v>281957.8</v>
      </c>
      <c r="T52" s="1">
        <f>T47*20%</f>
        <v>0</v>
      </c>
      <c r="U52" s="1">
        <f>U47*20%</f>
        <v>0</v>
      </c>
      <c r="V52" s="1">
        <f>V47*20%</f>
        <v>0</v>
      </c>
      <c r="W52" s="1">
        <f t="shared" ref="W52:AE52" si="2">W50*20%</f>
        <v>0</v>
      </c>
      <c r="X52" s="1">
        <f t="shared" si="2"/>
        <v>0</v>
      </c>
      <c r="Y52" s="1">
        <f t="shared" si="2"/>
        <v>0</v>
      </c>
      <c r="Z52" s="1">
        <f t="shared" si="2"/>
        <v>0</v>
      </c>
      <c r="AA52" s="1">
        <f t="shared" si="2"/>
        <v>0</v>
      </c>
      <c r="AB52" s="1">
        <f t="shared" si="2"/>
        <v>49982</v>
      </c>
      <c r="AC52" s="1">
        <f t="shared" si="2"/>
        <v>30934.056</v>
      </c>
      <c r="AD52" s="1">
        <f t="shared" si="2"/>
        <v>30934.056</v>
      </c>
      <c r="AE52" s="1">
        <f t="shared" si="2"/>
        <v>30934.056</v>
      </c>
    </row>
    <row r="53" spans="1:31" s="11" customFormat="1" x14ac:dyDescent="0.2">
      <c r="A53" s="172" t="s">
        <v>80</v>
      </c>
      <c r="B53" s="61">
        <v>450000</v>
      </c>
      <c r="C53" s="118" t="s">
        <v>79</v>
      </c>
      <c r="D53" s="119"/>
      <c r="E53" s="4">
        <f>E50+E52</f>
        <v>749811</v>
      </c>
      <c r="F53" s="4">
        <f t="shared" ref="F53:S53" si="3">F50+F52</f>
        <v>4433016</v>
      </c>
      <c r="G53" s="4">
        <f t="shared" si="3"/>
        <v>0</v>
      </c>
      <c r="H53" s="4">
        <f t="shared" si="3"/>
        <v>566982.99600000004</v>
      </c>
      <c r="I53" s="4">
        <f t="shared" si="3"/>
        <v>0</v>
      </c>
      <c r="J53" s="4">
        <f t="shared" si="3"/>
        <v>0</v>
      </c>
      <c r="K53" s="4">
        <f t="shared" si="3"/>
        <v>494691</v>
      </c>
      <c r="L53" s="4">
        <f t="shared" si="3"/>
        <v>0</v>
      </c>
      <c r="M53" s="4">
        <f t="shared" si="3"/>
        <v>213027</v>
      </c>
      <c r="N53" s="4">
        <f t="shared" si="3"/>
        <v>0</v>
      </c>
      <c r="O53" s="4">
        <f t="shared" si="3"/>
        <v>3619902</v>
      </c>
      <c r="P53" s="4">
        <f t="shared" si="3"/>
        <v>2869245</v>
      </c>
      <c r="Q53" s="4">
        <f t="shared" si="3"/>
        <v>2729939.4</v>
      </c>
      <c r="R53" s="4">
        <f t="shared" si="3"/>
        <v>1971910.8</v>
      </c>
      <c r="S53" s="4">
        <f t="shared" si="3"/>
        <v>1691746.8</v>
      </c>
      <c r="T53" s="4">
        <f>T47+T52</f>
        <v>0</v>
      </c>
      <c r="U53" s="4">
        <f>U47+U52</f>
        <v>0</v>
      </c>
      <c r="V53" s="4">
        <f>V47+V52</f>
        <v>0</v>
      </c>
      <c r="W53" s="4">
        <f t="shared" ref="W53:AE53" si="4">W50+W52</f>
        <v>0</v>
      </c>
      <c r="X53" s="4">
        <f t="shared" si="4"/>
        <v>0</v>
      </c>
      <c r="Y53" s="4">
        <f t="shared" si="4"/>
        <v>0</v>
      </c>
      <c r="Z53" s="4">
        <f t="shared" si="4"/>
        <v>0</v>
      </c>
      <c r="AA53" s="4">
        <f t="shared" si="4"/>
        <v>0</v>
      </c>
      <c r="AB53" s="4">
        <f t="shared" si="4"/>
        <v>299892</v>
      </c>
      <c r="AC53" s="4">
        <f t="shared" si="4"/>
        <v>185604.33600000001</v>
      </c>
      <c r="AD53" s="4">
        <f t="shared" si="4"/>
        <v>185604.33600000001</v>
      </c>
      <c r="AE53" s="4">
        <f t="shared" si="4"/>
        <v>185604.33600000001</v>
      </c>
    </row>
    <row r="54" spans="1:31" x14ac:dyDescent="0.2">
      <c r="A54" s="159"/>
      <c r="D54" s="64"/>
      <c r="E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</row>
    <row r="55" spans="1:31" s="11" customFormat="1" x14ac:dyDescent="0.2">
      <c r="A55" s="11" t="s">
        <v>78</v>
      </c>
      <c r="B55" s="20">
        <f>C55/1.2</f>
        <v>16830814.169999998</v>
      </c>
      <c r="C55" s="20">
        <f>SUM(E55:AF55)</f>
        <v>20196977.003999997</v>
      </c>
      <c r="D55" s="64"/>
      <c r="E55" s="153">
        <f>E53</f>
        <v>749811</v>
      </c>
      <c r="F55" s="153">
        <f>F53</f>
        <v>4433016</v>
      </c>
      <c r="G55" s="153">
        <f t="shared" ref="G55:S55" si="5">G53</f>
        <v>0</v>
      </c>
      <c r="H55" s="153">
        <f t="shared" si="5"/>
        <v>566982.99600000004</v>
      </c>
      <c r="I55" s="25">
        <f t="shared" si="5"/>
        <v>0</v>
      </c>
      <c r="J55" s="25">
        <f t="shared" si="5"/>
        <v>0</v>
      </c>
      <c r="K55" s="153">
        <f>K53</f>
        <v>494691</v>
      </c>
      <c r="L55" s="153">
        <f t="shared" si="5"/>
        <v>0</v>
      </c>
      <c r="M55" s="153">
        <f t="shared" si="5"/>
        <v>213027</v>
      </c>
      <c r="N55" s="25">
        <f t="shared" si="5"/>
        <v>0</v>
      </c>
      <c r="O55" s="25">
        <f t="shared" si="5"/>
        <v>3619902</v>
      </c>
      <c r="P55" s="25">
        <f t="shared" si="5"/>
        <v>2869245</v>
      </c>
      <c r="Q55" s="25">
        <f t="shared" si="5"/>
        <v>2729939.4</v>
      </c>
      <c r="R55" s="25">
        <f t="shared" si="5"/>
        <v>1971910.8</v>
      </c>
      <c r="S55" s="25">
        <f t="shared" si="5"/>
        <v>1691746.8</v>
      </c>
      <c r="T55" s="25"/>
      <c r="U55" s="25"/>
      <c r="V55" s="25"/>
      <c r="W55" s="25">
        <f t="shared" ref="W55:AE55" si="6">W53</f>
        <v>0</v>
      </c>
      <c r="X55" s="25">
        <f t="shared" si="6"/>
        <v>0</v>
      </c>
      <c r="Y55" s="25">
        <f t="shared" si="6"/>
        <v>0</v>
      </c>
      <c r="Z55" s="25">
        <f t="shared" si="6"/>
        <v>0</v>
      </c>
      <c r="AA55" s="25">
        <f t="shared" si="6"/>
        <v>0</v>
      </c>
      <c r="AB55" s="25">
        <f t="shared" si="6"/>
        <v>299892</v>
      </c>
      <c r="AC55" s="25">
        <f t="shared" si="6"/>
        <v>185604.33600000001</v>
      </c>
      <c r="AD55" s="25">
        <f t="shared" si="6"/>
        <v>185604.33600000001</v>
      </c>
      <c r="AE55" s="25">
        <f t="shared" si="6"/>
        <v>185604.33600000001</v>
      </c>
    </row>
    <row r="56" spans="1:31" s="11" customFormat="1" ht="14.25" x14ac:dyDescent="0.2">
      <c r="B56" s="20"/>
      <c r="C56" s="117"/>
      <c r="D56" s="20"/>
      <c r="E56" s="20"/>
      <c r="F56" s="25"/>
      <c r="G56" s="25"/>
      <c r="H56" s="25"/>
      <c r="I56" s="25"/>
      <c r="J56" s="25"/>
      <c r="K56" s="25"/>
      <c r="L56" s="48"/>
      <c r="M56" s="20"/>
      <c r="N56" s="20"/>
    </row>
    <row r="59" spans="1:31" x14ac:dyDescent="0.2">
      <c r="L59" s="96"/>
    </row>
  </sheetData>
  <mergeCells count="9">
    <mergeCell ref="A53:A54"/>
    <mergeCell ref="A15:A37"/>
    <mergeCell ref="A38:AE38"/>
    <mergeCell ref="A40:C40"/>
    <mergeCell ref="D18:D20"/>
    <mergeCell ref="D21:D34"/>
    <mergeCell ref="D35:D37"/>
    <mergeCell ref="C15:C37"/>
    <mergeCell ref="B15:B37"/>
  </mergeCells>
  <phoneticPr fontId="2" type="noConversion"/>
  <pageMargins left="0.31496062992125984" right="0.31496062992125984" top="0.35433070866141736" bottom="0.35433070866141736" header="0.31496062992125984" footer="0.31496062992125984"/>
  <pageSetup paperSize="9" scale="94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067CFE2FA58F4AA8787A60B3115739" ma:contentTypeVersion="32" ma:contentTypeDescription="Create a new document." ma:contentTypeScope="" ma:versionID="64c114f0b03c03826cd9e709e55321a3">
  <xsd:schema xmlns:xsd="http://www.w3.org/2001/XMLSchema" xmlns:xs="http://www.w3.org/2001/XMLSchema" xmlns:p="http://schemas.microsoft.com/office/2006/metadata/properties" xmlns:ns1="http://schemas.microsoft.com/sharepoint/v3" xmlns:ns2="36956a59-03c8-4771-92e2-dea6cd9c20e1" xmlns:ns3="http://schemas.microsoft.com/sharepoint/v3/fields" xmlns:ns4="9572c2c8-d747-4bb1-bc51-dea6bb128a6b" xmlns:ns5="http://schemas.microsoft.com/sharepoint/v4" targetNamespace="http://schemas.microsoft.com/office/2006/metadata/properties" ma:root="true" ma:fieldsID="58e97d95818879a04c350819e065af28" ns1:_="" ns2:_="" ns3:_="" ns4:_="" ns5:_="">
    <xsd:import namespace="http://schemas.microsoft.com/sharepoint/v3"/>
    <xsd:import namespace="36956a59-03c8-4771-92e2-dea6cd9c20e1"/>
    <xsd:import namespace="http://schemas.microsoft.com/sharepoint/v3/fields"/>
    <xsd:import namespace="9572c2c8-d747-4bb1-bc51-dea6bb128a6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ostcode" minOccurs="0"/>
                <xsd:element ref="ns2:Product_x0020_Type" minOccurs="0"/>
                <xsd:element ref="ns2:Client_x0020_Name" minOccurs="0"/>
                <xsd:element ref="ns2:Building_x0020_Type" minOccurs="0"/>
                <xsd:element ref="ns2:Industry" minOccurs="0"/>
                <xsd:element ref="ns3:Location" minOccurs="0"/>
                <xsd:element ref="ns2:Sector" minOccurs="0"/>
                <xsd:element ref="ns2:Reg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4:TriggerProjectMigrationWF" minOccurs="0"/>
                <xsd:element ref="ns4:MediaServiceGenerationTime" minOccurs="0"/>
                <xsd:element ref="ns4:MediaServiceEventHashCode" minOccurs="0"/>
                <xsd:element ref="ns4:Alert_x0020_On_x0020_Creation_x0020_of_x0020_Doument_x0020_Set" minOccurs="0"/>
                <xsd:element ref="ns4:MediaServiceAutoKeyPoints" minOccurs="0"/>
                <xsd:element ref="ns4:MediaServiceKeyPoints" minOccurs="0"/>
                <xsd:element ref="ns5:IconOverlay" minOccurs="0"/>
                <xsd:element ref="ns4:MediaLengthInSeconds" minOccurs="0"/>
                <xsd:element ref="ns4:Unit_x0020_Number" minOccurs="0"/>
                <xsd:element ref="ns4:Project_x0020_Manager" minOccurs="0"/>
                <xsd:element ref="ns4:lcf76f155ced4ddcb4097134ff3c332f" minOccurs="0"/>
                <xsd:element ref="ns2:TaxCatchAll" minOccurs="0"/>
                <xsd:element ref="ns4:MediaServiceObjectDetectorVersions" minOccurs="0"/>
                <xsd:element ref="ns4:Re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56a59-03c8-4771-92e2-dea6cd9c20e1" elementFormDefault="qualified">
    <xsd:import namespace="http://schemas.microsoft.com/office/2006/documentManagement/types"/>
    <xsd:import namespace="http://schemas.microsoft.com/office/infopath/2007/PartnerControls"/>
    <xsd:element name="Postcode" ma:index="8" nillable="true" ma:displayName="Postcode" ma:description="Please enter value in CAPITALS without spaces" ma:internalName="Postcode">
      <xsd:simpleType>
        <xsd:restriction base="dms:Text">
          <xsd:maxLength value="255"/>
        </xsd:restriction>
      </xsd:simpleType>
    </xsd:element>
    <xsd:element name="Product_x0020_Type" ma:index="9" nillable="true" ma:displayName="Product Type" ma:format="Dropdown" ma:internalName="Product_x0020_Type">
      <xsd:simpleType>
        <xsd:restriction base="dms:Choice">
          <xsd:enumeration value="Battery"/>
          <xsd:enumeration value="CHP"/>
          <xsd:enumeration value="EV"/>
          <xsd:enumeration value="Heat Pump"/>
          <xsd:enumeration value="Lighting"/>
          <xsd:enumeration value="Multiple Technologies"/>
          <xsd:enumeration value="Optimisation"/>
          <xsd:enumeration value="Panoramic Power"/>
          <xsd:enumeration value="Power Generation"/>
          <xsd:enumeration value="Solar"/>
        </xsd:restriction>
      </xsd:simpleType>
    </xsd:element>
    <xsd:element name="Client_x0020_Name" ma:index="10" nillable="true" ma:displayName="Client Name" ma:indexed="true" ma:internalName="Client_x0020_Name" ma:readOnly="false">
      <xsd:simpleType>
        <xsd:restriction base="dms:Text">
          <xsd:maxLength value="255"/>
        </xsd:restriction>
      </xsd:simpleType>
    </xsd:element>
    <xsd:element name="Building_x0020_Type" ma:index="11" nillable="true" ma:displayName="Building Type" ma:format="Dropdown" ma:internalName="Building_x0020_Type">
      <xsd:simpleType>
        <xsd:restriction base="dms:Choice">
          <xsd:enumeration value="City Council"/>
          <xsd:enumeration value="College"/>
          <xsd:enumeration value="Football Club"/>
          <xsd:enumeration value="Hospital"/>
          <xsd:enumeration value="Hotel"/>
          <xsd:enumeration value="Leisure Centre"/>
          <xsd:enumeration value="School"/>
          <xsd:enumeration value="University"/>
          <xsd:enumeration value="Waste Water Treatment Works"/>
        </xsd:restriction>
      </xsd:simpleType>
    </xsd:element>
    <xsd:element name="Industry" ma:index="12" nillable="true" ma:displayName="Industry" ma:format="Dropdown" ma:internalName="Industry" ma:readOnly="false">
      <xsd:simpleType>
        <xsd:restriction base="dms:Choice">
          <xsd:enumeration value="Construction"/>
          <xsd:enumeration value="Data Centres"/>
          <xsd:enumeration value="Education"/>
          <xsd:enumeration value="Food and Beverage"/>
          <xsd:enumeration value="Healthcare"/>
          <xsd:enumeration value="Hotel and Leisure"/>
          <xsd:enumeration value="Manufacturing"/>
          <xsd:enumeration value="Retail"/>
          <xsd:enumeration value="Upsell"/>
          <xsd:enumeration value="Other"/>
        </xsd:restriction>
      </xsd:simpleType>
    </xsd:element>
    <xsd:element name="Sector" ma:index="14" nillable="true" ma:displayName="Sector" ma:format="Dropdown" ma:internalName="Sector">
      <xsd:simpleType>
        <xsd:restriction base="dms:Choice">
          <xsd:enumeration value="Commercial &amp; Industrial"/>
          <xsd:enumeration value="Investors &amp; Developers"/>
          <xsd:enumeration value="Project_Edison"/>
          <xsd:enumeration value="Public Sector"/>
          <xsd:enumeration value="Utilities &amp; Infrastructure"/>
          <xsd:enumeration value="Public"/>
          <xsd:enumeration value="Commercial"/>
          <xsd:enumeration value="Industrial"/>
          <xsd:enumeration value="Strategic Corporate Sales"/>
          <xsd:enumeration value="Developer"/>
        </xsd:restriction>
      </xsd:simpleType>
    </xsd:element>
    <xsd:element name="Region" ma:index="15" nillable="true" ma:displayName="Region" ma:format="Dropdown" ma:internalName="Region">
      <xsd:simpleType>
        <xsd:restriction base="dms:Choice">
          <xsd:enumeration value="East of England"/>
          <xsd:enumeration value="East Midlands"/>
          <xsd:enumeration value="Ireland"/>
          <xsd:enumeration value="London"/>
          <xsd:enumeration value="North East England"/>
          <xsd:enumeration value="Northern Ireland"/>
          <xsd:enumeration value="North West England"/>
          <xsd:enumeration value="Scotland"/>
          <xsd:enumeration value="South East England"/>
          <xsd:enumeration value="South West England"/>
          <xsd:enumeration value="Wales"/>
          <xsd:enumeration value="West Midlands"/>
          <xsd:enumeration value="Yorkshire and Humber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8" nillable="true" ma:displayName="Taxonomy Catch All Column" ma:hidden="true" ma:list="{227c7a86-208f-4149-b32a-19780455e232}" ma:internalName="TaxCatchAll" ma:showField="CatchAllData" ma:web="36956a59-03c8-4771-92e2-dea6cd9c20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Location" ma:index="13" nillable="true" ma:displayName="Location" ma:description="If the location forms part of the client name then you do not need to add it again here &#10;The full address is not needed, add a one word or two word location name that identifies the site easily" ma:indexed="true" ma:internalName="Loca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72c2c8-d747-4bb1-bc51-dea6bb128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TriggerProjectMigrationWF" ma:index="26" nillable="true" ma:displayName="TriggerProjectMigrationWF" ma:internalName="TriggerProjectMigrationW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Alert_x0020_On_x0020_Creation_x0020_of_x0020_Doument_x0020_Set" ma:index="29" nillable="true" ma:displayName="Alert On Creation of Doument Set" ma:internalName="Alert_x0020_On_x0020_Creation_x0020_of_x0020_Doument_x0020_Se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3" nillable="true" ma:displayName="Length (seconds)" ma:internalName="MediaLengthInSeconds" ma:readOnly="true">
      <xsd:simpleType>
        <xsd:restriction base="dms:Unknown"/>
      </xsd:simpleType>
    </xsd:element>
    <xsd:element name="Unit_x0020_Number" ma:index="34" nillable="true" ma:displayName="Unit Number" ma:internalName="Unit_x0020_Number">
      <xsd:simpleType>
        <xsd:restriction base="dms:Text">
          <xsd:maxLength value="255"/>
        </xsd:restriction>
      </xsd:simpleType>
    </xsd:element>
    <xsd:element name="Project_x0020_Manager" ma:index="35" nillable="true" ma:displayName="Project Manager" ma:list="UserInfo" ma:SharePointGroup="0" ma:internalName="Project_x0020_Manag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37" nillable="true" ma:taxonomy="true" ma:internalName="lcf76f155ced4ddcb4097134ff3c332f" ma:taxonomyFieldName="MediaServiceImageTags" ma:displayName="Image Tags" ma:readOnly="false" ma:fieldId="{5cf76f15-5ced-4ddc-b409-7134ff3c332f}" ma:taxonomyMulti="true" ma:sspId="9bbe8e03-2214-4631-8839-496c46f2d9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Ref" ma:index="40" nillable="true" ma:displayName="Ref" ma:format="Dropdown" ma:internalName="Ref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Client_x0020_Name xmlns="36956a59-03c8-4771-92e2-dea6cd9c20e1">Wye Valley Trust</Client_x0020_Name>
    <IconOverlay xmlns="http://schemas.microsoft.com/sharepoint/v4" xsi:nil="true"/>
    <lcf76f155ced4ddcb4097134ff3c332f xmlns="9572c2c8-d747-4bb1-bc51-dea6bb128a6b">
      <Terms xmlns="http://schemas.microsoft.com/office/infopath/2007/PartnerControls"/>
    </lcf76f155ced4ddcb4097134ff3c332f>
    <Sector xmlns="36956a59-03c8-4771-92e2-dea6cd9c20e1">Public Sector</Sector>
    <Product_x0020_Type xmlns="36956a59-03c8-4771-92e2-dea6cd9c20e1">Heat Pump</Product_x0020_Type>
    <Region xmlns="36956a59-03c8-4771-92e2-dea6cd9c20e1">West Midlands</Region>
    <TriggerProjectMigrationWF xmlns="9572c2c8-d747-4bb1-bc51-dea6bb128a6b">
      <Url xsi:nil="true"/>
      <Description xsi:nil="true"/>
    </TriggerProjectMigrationWF>
    <Project_x0020_Manager xmlns="9572c2c8-d747-4bb1-bc51-dea6bb128a6b">
      <UserInfo>
        <DisplayName/>
        <AccountId xsi:nil="true"/>
        <AccountType/>
      </UserInfo>
    </Project_x0020_Manager>
    <Alert_x0020_On_x0020_Creation_x0020_of_x0020_Doument_x0020_Set xmlns="9572c2c8-d747-4bb1-bc51-dea6bb128a6b">
      <Url xsi:nil="true"/>
      <Description xsi:nil="true"/>
    </Alert_x0020_On_x0020_Creation_x0020_of_x0020_Doument_x0020_Set>
    <Industry xmlns="36956a59-03c8-4771-92e2-dea6cd9c20e1">Healthcare</Industry>
    <Building_x0020_Type xmlns="36956a59-03c8-4771-92e2-dea6cd9c20e1">Hospital</Building_x0020_Type>
    <Location xmlns="http://schemas.microsoft.com/sharepoint/v3/fields">Hereford County Hospital</Location>
    <TaxCatchAll xmlns="36956a59-03c8-4771-92e2-dea6cd9c20e1" xsi:nil="true"/>
    <Unit_x0020_Number xmlns="9572c2c8-d747-4bb1-bc51-dea6bb128a6b" xsi:nil="true"/>
    <Postcode xmlns="36956a59-03c8-4771-92e2-dea6cd9c20e1">HR1 2AZ</Postcode>
    <Ref xmlns="9572c2c8-d747-4bb1-bc51-dea6bb128a6b" xsi:nil="true"/>
  </documentManagement>
</p:properties>
</file>

<file path=customXml/itemProps1.xml><?xml version="1.0" encoding="utf-8"?>
<ds:datastoreItem xmlns:ds="http://schemas.openxmlformats.org/officeDocument/2006/customXml" ds:itemID="{B31A7EAB-F170-4B30-B164-DEE29E4152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3649AC-756E-4EEF-B7A0-A0C0E938A4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6956a59-03c8-4771-92e2-dea6cd9c20e1"/>
    <ds:schemaRef ds:uri="http://schemas.microsoft.com/sharepoint/v3/fields"/>
    <ds:schemaRef ds:uri="9572c2c8-d747-4bb1-bc51-dea6bb128a6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020F61-9940-48E1-AFD4-0F9C506867E5}">
  <ds:schemaRefs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9572c2c8-d747-4bb1-bc51-dea6bb128a6b"/>
    <ds:schemaRef ds:uri="http://schemas.microsoft.com/office/2006/documentManagement/types"/>
    <ds:schemaRef ds:uri="36956a59-03c8-4771-92e2-dea6cd9c20e1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/field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065f1a46-1149-4b07-97f4-ee5ba49b485b}" enabled="1" method="Standard" siteId="{a603898f-7de2-45ba-b67d-d35fb519b2c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Financial Summary Capital</vt:lpstr>
      <vt:lpstr>Condensed Schedule</vt:lpstr>
      <vt:lpstr>Payment</vt:lpstr>
      <vt:lpstr>Payment!Print_Area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Gale, Chris</dc:creator>
  <cp:lastModifiedBy>Burke, Peter</cp:lastModifiedBy>
  <cp:lastPrinted>2023-05-25T17:58:10Z</cp:lastPrinted>
  <dcterms:created xsi:type="dcterms:W3CDTF">2021-02-22T10:12:21Z</dcterms:created>
  <dcterms:modified xsi:type="dcterms:W3CDTF">2023-11-17T16:16:22Z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5f1a46-1149-4b07-97f4-ee5ba49b485b_Enabled">
    <vt:lpwstr>true</vt:lpwstr>
  </property>
  <property fmtid="{D5CDD505-2E9C-101B-9397-08002B2CF9AE}" pid="3" name="MSIP_Label_065f1a46-1149-4b07-97f4-ee5ba49b485b_SetDate">
    <vt:lpwstr>2021-02-22T10:12:27Z</vt:lpwstr>
  </property>
  <property fmtid="{D5CDD505-2E9C-101B-9397-08002B2CF9AE}" pid="4" name="MSIP_Label_065f1a46-1149-4b07-97f4-ee5ba49b485b_Method">
    <vt:lpwstr>Standard</vt:lpwstr>
  </property>
  <property fmtid="{D5CDD505-2E9C-101B-9397-08002B2CF9AE}" pid="5" name="MSIP_Label_065f1a46-1149-4b07-97f4-ee5ba49b485b_Name">
    <vt:lpwstr>065f1a46-1149-4b07-97f4-ee5ba49b485b</vt:lpwstr>
  </property>
  <property fmtid="{D5CDD505-2E9C-101B-9397-08002B2CF9AE}" pid="6" name="MSIP_Label_065f1a46-1149-4b07-97f4-ee5ba49b485b_SiteId">
    <vt:lpwstr>a603898f-7de2-45ba-b67d-d35fb519b2cf</vt:lpwstr>
  </property>
  <property fmtid="{D5CDD505-2E9C-101B-9397-08002B2CF9AE}" pid="7" name="MSIP_Label_065f1a46-1149-4b07-97f4-ee5ba49b485b_ActionId">
    <vt:lpwstr>19536b4b-b644-41ef-9483-40951b3527be</vt:lpwstr>
  </property>
  <property fmtid="{D5CDD505-2E9C-101B-9397-08002B2CF9AE}" pid="8" name="MSIP_Label_065f1a46-1149-4b07-97f4-ee5ba49b485b_ContentBits">
    <vt:lpwstr>0</vt:lpwstr>
  </property>
  <property fmtid="{D5CDD505-2E9C-101B-9397-08002B2CF9AE}" pid="9" name="ContentTypeId">
    <vt:lpwstr>0x01010001067CFE2FA58F4AA8787A60B3115739</vt:lpwstr>
  </property>
  <property fmtid="{D5CDD505-2E9C-101B-9397-08002B2CF9AE}" pid="10" name="_docset_NoMedatataSyncRequired">
    <vt:lpwstr>False</vt:lpwstr>
  </property>
  <property fmtid="{D5CDD505-2E9C-101B-9397-08002B2CF9AE}" pid="11" name="MediaServiceImageTags">
    <vt:lpwstr/>
  </property>
</Properties>
</file>